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g/JGxFBW5cxv9swtxM6XLQmcj8Qx5jgLLv2WLbefFuM3/1UOgzXzj8URwQwoWB9NOlpUlnyd349whNHBjO4k5A==" workbookSaltValue="9oK+oCrqfKPWnpbr50K3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X12" i="21" s="1"/>
  <c r="BM19" i="8"/>
  <c r="BK19" i="8"/>
  <c r="EP19" i="8"/>
  <c r="AL13" i="16"/>
  <c r="AJ13" i="16"/>
  <c r="T17" i="11"/>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5" i="2"/>
  <c r="L17" i="2"/>
  <c r="X10" i="21"/>
  <c r="X15" i="16"/>
  <c r="X18" i="16" s="1"/>
  <c r="AA11" i="16"/>
  <c r="V10" i="16"/>
  <c r="L9" i="2"/>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C19" i="8"/>
  <c r="AM19" i="8"/>
  <c r="AK19" i="8"/>
  <c r="AA19" i="8"/>
  <c r="AI19" i="8"/>
  <c r="BG12" i="8"/>
  <c r="BE12" i="8"/>
  <c r="R19" i="8"/>
  <c r="BG10" i="8"/>
  <c r="BG9" i="8"/>
  <c r="BE9" i="8"/>
  <c r="C13" i="7"/>
  <c r="T19" i="8"/>
  <c r="H9" i="7"/>
  <c r="F17" i="17"/>
  <c r="AQ17" i="17" s="1"/>
  <c r="E12" i="6"/>
  <c r="BF11" i="11"/>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12"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<sst xmlns="http://schemas.openxmlformats.org/spreadsheetml/2006/main" count="2066" uniqueCount="905">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</sst>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j8MXOqDQVdDeXnVX4obWe+bFgDho+xorW47uC1kgDIWk0ZjrM9HrllBqfopBCoa4jQIolqmt/WiKBoEu32Jng==" saltValue="e1U7/d+akd39AJgwy9bR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27.175582990397803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51</v>
      </c>
      <c r="D10" s="228">
        <f>IF(ISNUMBER(Datos!I10),Datos!I10," - ")</f>
        <v>51</v>
      </c>
      <c r="E10" s="229">
        <f>IF(ISNUMBER(Datos!J10),Datos!J10," - ")</f>
        <v>39</v>
      </c>
      <c r="F10" s="229">
        <f>IF(ISNUMBER(Datos!K10),Datos!K10," - ")</f>
        <v>23</v>
      </c>
      <c r="G10" s="1037" t="str">
        <f>IF(Datos!E10&lt;&gt;"",Datos!E10,Datos!D10)</f>
        <v>37</v>
      </c>
      <c r="H10" s="230">
        <f>IF(ISNUMBER(Datos!L10),Datos!L10," - ")</f>
        <v>67</v>
      </c>
      <c r="I10" s="1047" t="str">
        <f>IF(ISNUMBER(Datos!AS10/Datos!BM10),Datos!AS10/Datos!BM10," - ")</f>
        <v xml:space="preserve"> - </v>
      </c>
      <c r="J10" s="1048">
        <f>IF(ISNUMBER(Datos!BY10/Datos!CN10),Datos!BY10/Datos!CN10," - ")</f>
        <v>0</v>
      </c>
      <c r="K10" s="233">
        <f t="shared" ref="K10:K12" si="1">IF(ISNUMBER((E10-F10)/C10),(E10-F10)/C10," - ")</f>
        <v>0.31372549019607843</v>
      </c>
      <c r="L10" s="1028">
        <f>IF(ISNUMBER(NºAsuntos!I10/NºAsuntos!G10),(NºAsuntos!I10/NºAsuntos!G10)*11," - ")</f>
        <v>32.043478260869563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51</v>
      </c>
      <c r="D13" s="1052">
        <f>SUBTOTAL(9,D9:D12)</f>
        <v>51</v>
      </c>
      <c r="E13" s="1053">
        <f>SUBTOTAL(9,E9:E12)</f>
        <v>39</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2348</v>
      </c>
      <c r="D15" s="228">
        <f>IF(ISNUMBER(IF(D_I="SI",Datos!I15,Datos!I15+Datos!AC15)),IF(D_I="SI",Datos!I15,Datos!I15+Datos!AC15)," - ")</f>
        <v>2324</v>
      </c>
      <c r="E15" s="229">
        <f>IF(ISNUMBER(IF(D_I="SI",Datos!J15,Datos!J15+Datos!AD15)),IF(D_I="SI",Datos!J15,Datos!J15+Datos!AD15)," - ")</f>
        <v>2203</v>
      </c>
      <c r="F15" s="229">
        <f>IF(ISNUMBER(IF(D_I="SI",Datos!K15,Datos!K15+Datos!AE15)),IF(D_I="SI",Datos!K15,Datos!K15+Datos!AE15)," - ")</f>
        <v>1845</v>
      </c>
      <c r="G15" s="1037" t="str">
        <f>IF(Datos!E15&lt;&gt;"",Datos!E15,Datos!D15)</f>
        <v>03</v>
      </c>
      <c r="H15" s="230">
        <f>IF(ISNUMBER(IF(D_I="SI",Datos!L15,Datos!L15+Datos!AF15)),IF(D_I="SI",Datos!L15,Datos!L15+Datos!AF15)," - ")</f>
        <v>2706</v>
      </c>
      <c r="I15" s="1047" t="str">
        <f>IF(ISNUMBER(Datos!AS15/Datos!BM15),Datos!AS15/Datos!BM15," - ")</f>
        <v xml:space="preserve"> - </v>
      </c>
      <c r="J15" s="1048">
        <f>IF(ISNUMBER(Datos!BY15/Datos!CN15),Datos!BY15/Datos!CN15," - ")</f>
        <v>0</v>
      </c>
      <c r="K15" s="233">
        <f t="shared" ref="K15:K17" si="3">IF(ISNUMBER((E15-F15)/C15),(E15-F15)/C15," - ")</f>
        <v>0.15247018739352641</v>
      </c>
      <c r="L15" s="1028">
        <f>IF(ISNUMBER(NºAsuntos!I15/NºAsuntos!G15),(NºAsuntos!I15/NºAsuntos!G15)*11," - ")</f>
        <v>16.133333333333333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2</v>
      </c>
      <c r="D16" s="228">
        <f>IF(ISNUMBER(IF(D_I="SI",Datos!I16,Datos!I16+Datos!AC16)),IF(D_I="SI",Datos!I16,Datos!I16+Datos!AC16)," - ")</f>
        <v>2</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2</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193</v>
      </c>
      <c r="D17" s="228">
        <f>IF(ISNUMBER(IF(D_I="SI",Datos!I17,Datos!I17+Datos!AC17)),IF(D_I="SI",Datos!I17,Datos!I17+Datos!AC17)," - ")</f>
        <v>192</v>
      </c>
      <c r="E17" s="229">
        <f>IF(ISNUMBER(IF(D_I="SI",Datos!J17,Datos!J17+Datos!AD17)),IF(D_I="SI",Datos!J17,Datos!J17+Datos!AD17)," - ")</f>
        <v>478</v>
      </c>
      <c r="F17" s="229">
        <f>IF(ISNUMBER(IF(D_I="SI",Datos!K17,Datos!K17+Datos!AE17)),IF(D_I="SI",Datos!K17,Datos!K17+Datos!AE17)," - ")</f>
        <v>454</v>
      </c>
      <c r="G17" s="1037" t="str">
        <f>IF(Datos!E17&lt;&gt;"",Datos!E17,Datos!D17)</f>
        <v>37</v>
      </c>
      <c r="H17" s="230">
        <f>IF(ISNUMBER(IF(D_I="SI",Datos!L17,Datos!L17+Datos!AF17)),IF(D_I="SI",Datos!L17,Datos!L17+Datos!AF17)," - ")</f>
        <v>217</v>
      </c>
      <c r="I17" s="1047" t="str">
        <f>IF(ISNUMBER(Datos!AS17/Datos!BM17),Datos!AS17/Datos!BM17," - ")</f>
        <v xml:space="preserve"> - </v>
      </c>
      <c r="J17" s="1048" t="str">
        <f>IF(ISNUMBER((Datos!BY17+Datos!BZ17)/Datos!CN17),(Datos!BY17+Datos!BZ17)/Datos!CN17," - ")</f>
        <v xml:space="preserve"> - </v>
      </c>
      <c r="K17" s="233">
        <f t="shared" si="3"/>
        <v>0.12435233160621761</v>
      </c>
      <c r="L17" s="1028">
        <f>IF(ISNUMBER(NºAsuntos!I17/NºAsuntos!G17),(NºAsuntos!I17/NºAsuntos!G17)*11," - ")</f>
        <v>5.2577092511013213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2543</v>
      </c>
      <c r="D18" s="1052">
        <f>SUBTOTAL(9,D15:D17)</f>
        <v>2518</v>
      </c>
      <c r="E18" s="1053">
        <f>SUBTOTAL(9,E15:E17)</f>
        <v>2681</v>
      </c>
      <c r="F18" s="1053">
        <f>SUBTOTAL(9,F15:F17)</f>
        <v>2299</v>
      </c>
      <c r="G18" s="1055" t="str">
        <f ca="1">INDIRECT(CONCATENATE("G",ROW()-1))</f>
        <v>37</v>
      </c>
      <c r="H18" s="1056">
        <f ca="1">SUMIF(G$14:G17,G18,H$14:H17)</f>
        <v>217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2594</v>
      </c>
      <c r="D19" s="1074">
        <f>SUBTOTAL(9,D9:D18)</f>
        <v>2569</v>
      </c>
      <c r="E19" s="1075">
        <f>SUBTOTAL(9,E9:E18)</f>
        <v>2720</v>
      </c>
      <c r="F19" s="1075">
        <f>SUBTOTAL(9,F9:F18)</f>
        <v>2322</v>
      </c>
      <c r="G19" s="1076"/>
      <c r="H19" s="1077">
        <f ca="1">SUMIF(B9:B18,"TOTAL",H9:H18)</f>
        <v>217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Z8lJYA/ZTknHKrH4RNtZEYovOpgpMcHZCLlawbOO/uC1X9yhCCgt67GPLOKQzltpUBBi69HJxfAvEP78HzyLSA==" saltValue="BlzNQ6U3EJsPIPZQFej8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tDxUN1UGaSKBYDiLEf6j5ezjD4vLrTSvO0Qlw4pu0Hjw2VwsQagINrUoCDGh3k12TIhGPTtHCyD8l53Od6GjQ==" saltValue="ATiJ8KZpviOraIYOTxjx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5405</v>
      </c>
      <c r="J9" s="184">
        <v>1922</v>
      </c>
      <c r="K9" s="184">
        <v>2076</v>
      </c>
      <c r="L9" s="184">
        <v>5253</v>
      </c>
      <c r="M9" s="184">
        <v>396</v>
      </c>
      <c r="N9" s="184">
        <v>835</v>
      </c>
      <c r="O9" s="184">
        <v>1303</v>
      </c>
      <c r="P9" s="184">
        <v>637</v>
      </c>
      <c r="Q9" s="184">
        <v>916</v>
      </c>
      <c r="R9" s="184">
        <v>6095</v>
      </c>
      <c r="S9" s="184">
        <v>3888</v>
      </c>
      <c r="T9" s="184">
        <v>1869</v>
      </c>
      <c r="U9" s="184">
        <v>1553</v>
      </c>
      <c r="V9" s="184">
        <v>4205</v>
      </c>
      <c r="W9" s="184">
        <v>368</v>
      </c>
      <c r="X9" s="191">
        <v>731</v>
      </c>
      <c r="Y9" s="194">
        <v>172</v>
      </c>
      <c r="Z9" s="184">
        <v>89</v>
      </c>
      <c r="AA9" s="184">
        <v>111</v>
      </c>
      <c r="AB9" s="184">
        <v>150</v>
      </c>
      <c r="AC9" s="184">
        <v>0</v>
      </c>
      <c r="AD9" s="184">
        <v>0</v>
      </c>
      <c r="AE9" s="184">
        <v>0</v>
      </c>
      <c r="AF9" s="191">
        <v>0</v>
      </c>
      <c r="AG9" s="194">
        <v>166</v>
      </c>
      <c r="AH9" s="184">
        <v>130</v>
      </c>
      <c r="AI9" s="184">
        <v>116</v>
      </c>
      <c r="AJ9" s="195">
        <v>180</v>
      </c>
      <c r="AK9" s="183">
        <v>0</v>
      </c>
      <c r="AL9" s="184">
        <v>0</v>
      </c>
      <c r="AM9" s="184">
        <v>0</v>
      </c>
      <c r="AN9" s="191">
        <v>0</v>
      </c>
      <c r="AO9" s="261">
        <v>5</v>
      </c>
      <c r="AP9" s="157">
        <v>5</v>
      </c>
      <c r="AQ9" s="157">
        <v>5</v>
      </c>
      <c r="AR9" s="196">
        <v>5</v>
      </c>
      <c r="AS9" s="341" t="s">
        <v>796</v>
      </c>
      <c r="AT9" s="198"/>
      <c r="AU9" s="197"/>
      <c r="AV9" s="198"/>
      <c r="AW9" s="197"/>
      <c r="AX9" s="198"/>
      <c r="AY9" s="123">
        <f>IF(ISNUMBER(IF(J_V="SI",S9,S9+AG9)),IF(J_V="SI",S9,S9+AG9)," - ")</f>
        <v>4054</v>
      </c>
      <c r="AZ9" s="123">
        <f>IF(ISNUMBER(IF(J_V="SI",T9,T9+AH9)),IF(J_V="SI",T9,T9+AH9)," - ")</f>
        <v>1999</v>
      </c>
      <c r="BA9" s="124">
        <f>IF(ISNUMBER(IF(J_V="SI",U9,U9+AI9)),IF(J_V="SI",U9,U9+AI9)," - ")</f>
        <v>1669</v>
      </c>
      <c r="BB9" s="124">
        <f>IF(ISNUMBER(IF(J_V="SI",V9,V9+AJ9)),IF(J_V="SI",V9,V9+AJ9)," - ")</f>
        <v>4385</v>
      </c>
      <c r="BC9" s="125">
        <f>IF(ISNUMBER(X9),X9," - ")</f>
        <v>731</v>
      </c>
      <c r="BD9" s="126">
        <f>IF(ISNUMBER(BA9/AZ9),BA9/AZ9," - ")</f>
        <v>0.83491745872936474</v>
      </c>
      <c r="BE9" s="127">
        <f>IF(ISNUMBER(BB9/BA9),BB9/BA9, " - ")</f>
        <v>2.6273217495506289</v>
      </c>
      <c r="BF9" s="127">
        <f>IF(ISNUMBER(BC9/BA9),BC9/BA9, " - ")</f>
        <v>0.43798681845416415</v>
      </c>
      <c r="BG9" s="199">
        <f>IF(ISNUMBER((AY9+AZ9)/BA9),(AY9+AZ9)/BA9," - ")</f>
        <v>3.626722588376273</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51</v>
      </c>
      <c r="J10" s="184">
        <v>39</v>
      </c>
      <c r="K10" s="184">
        <v>23</v>
      </c>
      <c r="L10" s="184">
        <v>67</v>
      </c>
      <c r="M10" s="184">
        <v>5</v>
      </c>
      <c r="N10" s="184">
        <v>12</v>
      </c>
      <c r="O10" s="184">
        <v>4</v>
      </c>
      <c r="P10" s="184">
        <v>8</v>
      </c>
      <c r="Q10" s="184">
        <v>2</v>
      </c>
      <c r="R10" s="184">
        <v>49</v>
      </c>
      <c r="S10" s="184">
        <v>43</v>
      </c>
      <c r="T10" s="184">
        <v>14</v>
      </c>
      <c r="U10" s="184">
        <v>14</v>
      </c>
      <c r="V10" s="184">
        <v>43</v>
      </c>
      <c r="W10" s="184">
        <v>6</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790</v>
      </c>
      <c r="AT10" s="195"/>
      <c r="AU10" s="203"/>
      <c r="AV10" s="195"/>
      <c r="AW10" s="203"/>
      <c r="AX10" s="195"/>
      <c r="AY10" s="128">
        <f t="shared" ref="AY10:BC10" si="0">IF(ISNUMBER(S10),S10," - ")</f>
        <v>43</v>
      </c>
      <c r="AZ10" s="129">
        <f t="shared" si="0"/>
        <v>14</v>
      </c>
      <c r="BA10" s="129">
        <f t="shared" si="0"/>
        <v>14</v>
      </c>
      <c r="BB10" s="129">
        <f t="shared" si="0"/>
        <v>43</v>
      </c>
      <c r="BC10" s="125">
        <f t="shared" si="0"/>
        <v>6</v>
      </c>
      <c r="BD10" s="126">
        <f>IF(ISNUMBER(BA10/AZ10),BA10/AZ10," - ")</f>
        <v>1</v>
      </c>
      <c r="BE10" s="127">
        <f>IF(ISNUMBER(BB10/BA10),BB10/BA10, " - ")</f>
        <v>3.0714285714285716</v>
      </c>
      <c r="BF10" s="127">
        <f>IF(ISNUMBER(BC10/BA10),BC10/BA10, " - ")</f>
        <v>0.42857142857142855</v>
      </c>
      <c r="BG10" s="199">
        <f>IF(ISNUMBER((AY10+AZ10)/BA10),(AY10+AZ10)/BA10," - ")</f>
        <v>4.0714285714285712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v>
      </c>
      <c r="J12" s="186">
        <v>0</v>
      </c>
      <c r="K12" s="186">
        <v>0</v>
      </c>
      <c r="L12" s="186">
        <v>2</v>
      </c>
      <c r="M12" s="186">
        <v>0</v>
      </c>
      <c r="N12" s="186">
        <v>0</v>
      </c>
      <c r="O12" s="184">
        <v>0</v>
      </c>
      <c r="P12" s="186">
        <v>0</v>
      </c>
      <c r="Q12" s="186">
        <v>0</v>
      </c>
      <c r="R12" s="186">
        <v>30</v>
      </c>
      <c r="S12" s="186">
        <v>2</v>
      </c>
      <c r="T12" s="186">
        <v>0</v>
      </c>
      <c r="U12" s="186">
        <v>0</v>
      </c>
      <c r="V12" s="186">
        <v>2</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799</v>
      </c>
      <c r="AT12" s="206"/>
      <c r="AU12" s="205"/>
      <c r="AV12" s="206"/>
      <c r="AW12" s="205"/>
      <c r="AX12" s="206"/>
      <c r="AY12" s="126">
        <f t="shared" si="1"/>
        <v>2</v>
      </c>
      <c r="AZ12" s="127">
        <f t="shared" si="1"/>
        <v>0</v>
      </c>
      <c r="BA12" s="127">
        <f t="shared" si="1"/>
        <v>0</v>
      </c>
      <c r="BB12" s="127">
        <f t="shared" si="1"/>
        <v>2</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5458</v>
      </c>
      <c r="J13" s="187">
        <f t="shared" si="6"/>
        <v>1961</v>
      </c>
      <c r="K13" s="187">
        <f t="shared" si="6"/>
        <v>2099</v>
      </c>
      <c r="L13" s="187">
        <f t="shared" si="6"/>
        <v>5322</v>
      </c>
      <c r="M13" s="187">
        <f t="shared" si="6"/>
        <v>401</v>
      </c>
      <c r="N13" s="187">
        <f t="shared" si="6"/>
        <v>847</v>
      </c>
      <c r="O13" s="187">
        <f t="shared" si="6"/>
        <v>1307</v>
      </c>
      <c r="P13" s="187">
        <f t="shared" si="6"/>
        <v>645</v>
      </c>
      <c r="Q13" s="187">
        <f t="shared" si="6"/>
        <v>918</v>
      </c>
      <c r="R13" s="187">
        <f t="shared" si="6"/>
        <v>6174</v>
      </c>
      <c r="S13" s="187">
        <f t="shared" si="6"/>
        <v>3933</v>
      </c>
      <c r="T13" s="187">
        <f t="shared" si="6"/>
        <v>1883</v>
      </c>
      <c r="U13" s="187">
        <f t="shared" si="6"/>
        <v>1567</v>
      </c>
      <c r="V13" s="187">
        <f t="shared" si="6"/>
        <v>4250</v>
      </c>
      <c r="W13" s="187">
        <f t="shared" si="6"/>
        <v>374</v>
      </c>
      <c r="X13" s="187">
        <f t="shared" si="6"/>
        <v>735</v>
      </c>
      <c r="Y13" s="187">
        <f t="shared" si="6"/>
        <v>172</v>
      </c>
      <c r="Z13" s="187">
        <f t="shared" si="6"/>
        <v>89</v>
      </c>
      <c r="AA13" s="187">
        <f t="shared" si="6"/>
        <v>111</v>
      </c>
      <c r="AB13" s="187">
        <f t="shared" si="6"/>
        <v>150</v>
      </c>
      <c r="AC13" s="187">
        <f t="shared" si="6"/>
        <v>0</v>
      </c>
      <c r="AD13" s="187">
        <f t="shared" si="6"/>
        <v>0</v>
      </c>
      <c r="AE13" s="187">
        <f t="shared" si="6"/>
        <v>0</v>
      </c>
      <c r="AF13" s="187">
        <f>SUBTOTAL(9,AF9:AF12)</f>
        <v>0</v>
      </c>
      <c r="AG13" s="187">
        <f t="shared" ref="AG13:AT13" si="7">SUBTOTAL(9,AG8:AG12)</f>
        <v>166</v>
      </c>
      <c r="AH13" s="187">
        <f t="shared" si="7"/>
        <v>130</v>
      </c>
      <c r="AI13" s="187">
        <f t="shared" si="7"/>
        <v>116</v>
      </c>
      <c r="AJ13" s="187">
        <f t="shared" si="7"/>
        <v>180</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4099</v>
      </c>
      <c r="AZ13" s="187">
        <f>SUBTOTAL(9,AZ8:AZ12)</f>
        <v>2013</v>
      </c>
      <c r="BA13" s="187">
        <f>SUBTOTAL(9,BA8:BA12)</f>
        <v>1683</v>
      </c>
      <c r="BB13" s="187">
        <f>SUBTOTAL(9,BB8:BB12)</f>
        <v>4430</v>
      </c>
      <c r="BC13" s="187">
        <f>SUBTOTAL(9,BC8:BC12)</f>
        <v>737</v>
      </c>
      <c r="BD13" s="208">
        <f>IF(ISNUMBER(BA13/AZ13),BA13/AZ13," - ")</f>
        <v>0.83606557377049184</v>
      </c>
      <c r="BE13" s="209">
        <f>IF(ISNUMBER(BB13/BA13),BB13/BA13, " - ")</f>
        <v>2.6322043969102791</v>
      </c>
      <c r="BF13" s="209">
        <f>IF(ISNUMBER(BC13/BA13),BC13/BA13, " - ")</f>
        <v>0.43790849673202614</v>
      </c>
      <c r="BG13" s="210">
        <f>IF(ISNUMBER((AY13+AZ13)/BA13),(AY13+AZ13)/BA13," - ")</f>
        <v>3.631610219845514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2324</v>
      </c>
      <c r="J15" s="186">
        <v>2203</v>
      </c>
      <c r="K15" s="186">
        <v>1845</v>
      </c>
      <c r="L15" s="186">
        <v>2706</v>
      </c>
      <c r="M15" s="186">
        <v>318</v>
      </c>
      <c r="N15" s="186">
        <v>1023</v>
      </c>
      <c r="O15" s="184">
        <v>40</v>
      </c>
      <c r="P15" s="186">
        <v>79</v>
      </c>
      <c r="Q15" s="186">
        <v>96</v>
      </c>
      <c r="R15" s="186">
        <v>275</v>
      </c>
      <c r="S15" s="186">
        <v>2157</v>
      </c>
      <c r="T15" s="186">
        <v>1869</v>
      </c>
      <c r="U15" s="186">
        <v>1993</v>
      </c>
      <c r="V15" s="186">
        <v>2024</v>
      </c>
      <c r="W15" s="186">
        <v>299</v>
      </c>
      <c r="X15" s="192">
        <v>1236</v>
      </c>
      <c r="Y15" s="205">
        <v>0</v>
      </c>
      <c r="Z15" s="186">
        <v>0</v>
      </c>
      <c r="AA15" s="186">
        <v>0</v>
      </c>
      <c r="AB15" s="186">
        <v>0</v>
      </c>
      <c r="AC15" s="186">
        <v>0</v>
      </c>
      <c r="AD15" s="186">
        <v>3</v>
      </c>
      <c r="AE15" s="186">
        <v>3</v>
      </c>
      <c r="AF15" s="192">
        <v>0</v>
      </c>
      <c r="AG15" s="205">
        <v>0</v>
      </c>
      <c r="AH15" s="186">
        <v>0</v>
      </c>
      <c r="AI15" s="186">
        <v>0</v>
      </c>
      <c r="AJ15" s="206">
        <v>0</v>
      </c>
      <c r="AK15" s="185">
        <v>0</v>
      </c>
      <c r="AL15" s="186">
        <v>0</v>
      </c>
      <c r="AM15" s="186">
        <v>0</v>
      </c>
      <c r="AN15" s="192">
        <v>0</v>
      </c>
      <c r="AO15" s="262">
        <v>4</v>
      </c>
      <c r="AP15" s="158">
        <v>4</v>
      </c>
      <c r="AQ15" s="158">
        <v>4</v>
      </c>
      <c r="AR15" s="158">
        <v>4</v>
      </c>
      <c r="AS15" s="343" t="s">
        <v>523</v>
      </c>
      <c r="AT15" s="206" t="s">
        <v>329</v>
      </c>
      <c r="AU15" s="205"/>
      <c r="AV15" s="206"/>
      <c r="AW15" s="205"/>
      <c r="AX15" s="206"/>
      <c r="AY15" s="128">
        <f t="shared" ref="AY15:BB16" si="9">IF(ISNUMBER(IF(D_I="SI",S15,S15+AK15)),IF(D_I="SI",S15,S15+AK15)," - ")</f>
        <v>2157</v>
      </c>
      <c r="AZ15" s="129">
        <f t="shared" si="9"/>
        <v>1869</v>
      </c>
      <c r="BA15" s="129">
        <f t="shared" si="9"/>
        <v>1993</v>
      </c>
      <c r="BB15" s="129">
        <f t="shared" si="9"/>
        <v>2024</v>
      </c>
      <c r="BC15" s="125">
        <f>IF(ISNUMBER(W15),W15," - ")</f>
        <v>299</v>
      </c>
      <c r="BD15" s="126">
        <f>IF(ISNUMBER(BA15/AZ15),BA15/AZ15," - ")</f>
        <v>1.0663456393793473</v>
      </c>
      <c r="BE15" s="127">
        <f>IF(ISNUMBER(BB15/BA15),BB15/BA15, " - ")</f>
        <v>1.0155544405418966</v>
      </c>
      <c r="BF15" s="127">
        <f>IF(ISNUMBER(BC15/BA15),BC15/BA15, " - ")</f>
        <v>0.15002508780732565</v>
      </c>
      <c r="BG15" s="199">
        <f t="shared" ref="BG15:BG16" si="10">IF(ISNUMBER((AY15+AZ15)/BA15),(AY15+AZ15)/BA15," - ")</f>
        <v>2.020070245860512</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v>
      </c>
      <c r="J16" s="186">
        <v>0</v>
      </c>
      <c r="K16" s="186">
        <v>0</v>
      </c>
      <c r="L16" s="186">
        <v>2</v>
      </c>
      <c r="M16" s="186">
        <v>0</v>
      </c>
      <c r="N16" s="186">
        <v>0</v>
      </c>
      <c r="O16" s="184">
        <v>0</v>
      </c>
      <c r="P16" s="186">
        <v>0</v>
      </c>
      <c r="Q16" s="186">
        <v>0</v>
      </c>
      <c r="R16" s="186">
        <v>0</v>
      </c>
      <c r="S16" s="186">
        <v>2</v>
      </c>
      <c r="T16" s="186">
        <v>0</v>
      </c>
      <c r="U16" s="186">
        <v>0</v>
      </c>
      <c r="V16" s="186">
        <v>2</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192</v>
      </c>
      <c r="J17" s="186">
        <v>478</v>
      </c>
      <c r="K17" s="186">
        <v>454</v>
      </c>
      <c r="L17" s="186">
        <v>217</v>
      </c>
      <c r="M17" s="186">
        <v>62</v>
      </c>
      <c r="N17" s="186">
        <v>190</v>
      </c>
      <c r="O17" s="186">
        <v>4</v>
      </c>
      <c r="P17" s="186">
        <v>8</v>
      </c>
      <c r="Q17" s="186">
        <v>4</v>
      </c>
      <c r="R17" s="186">
        <v>10</v>
      </c>
      <c r="S17" s="186">
        <v>108</v>
      </c>
      <c r="T17" s="186">
        <v>242</v>
      </c>
      <c r="U17" s="186">
        <v>246</v>
      </c>
      <c r="V17" s="186">
        <v>105</v>
      </c>
      <c r="W17" s="186">
        <v>33</v>
      </c>
      <c r="X17" s="192">
        <v>122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789</v>
      </c>
      <c r="AT17" s="212"/>
      <c r="AU17" s="203"/>
      <c r="AV17" s="212"/>
      <c r="AW17" s="203"/>
      <c r="AX17" s="212"/>
      <c r="AY17" s="128">
        <f t="shared" ref="AY17:BB17" si="14">IF(ISNUMBER(S17),S17," - ")</f>
        <v>108</v>
      </c>
      <c r="AZ17" s="129">
        <f t="shared" si="14"/>
        <v>242</v>
      </c>
      <c r="BA17" s="129">
        <f t="shared" si="14"/>
        <v>246</v>
      </c>
      <c r="BB17" s="129">
        <f t="shared" si="14"/>
        <v>105</v>
      </c>
      <c r="BC17" s="125">
        <f>IF(ISNUMBER(W17),W17," - ")</f>
        <v>33</v>
      </c>
      <c r="BD17" s="126">
        <f>IF(ISNUMBER(BA17/AZ17),BA17/AZ17," - ")</f>
        <v>1.0165289256198347</v>
      </c>
      <c r="BE17" s="127">
        <f>IF(ISNUMBER(BB17/BA17),BB17/BA17, " - ")</f>
        <v>0.42682926829268292</v>
      </c>
      <c r="BF17" s="127">
        <f>IF(ISNUMBER(BC17/BA17),BC17/BA17, " - ")</f>
        <v>0.13414634146341464</v>
      </c>
      <c r="BG17" s="199">
        <f>IF(ISNUMBER((AY17+AZ17)/BA17),(AY17+AZ17)/BA17," - ")</f>
        <v>1.4227642276422765</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2518</v>
      </c>
      <c r="J18" s="187">
        <f t="shared" si="15"/>
        <v>2681</v>
      </c>
      <c r="K18" s="187">
        <f t="shared" si="15"/>
        <v>2299</v>
      </c>
      <c r="L18" s="187">
        <f t="shared" si="15"/>
        <v>2925</v>
      </c>
      <c r="M18" s="187">
        <f t="shared" si="15"/>
        <v>380</v>
      </c>
      <c r="N18" s="187">
        <f t="shared" si="15"/>
        <v>1213</v>
      </c>
      <c r="O18" s="187">
        <f t="shared" si="15"/>
        <v>44</v>
      </c>
      <c r="P18" s="187">
        <f t="shared" si="15"/>
        <v>87</v>
      </c>
      <c r="Q18" s="187">
        <f t="shared" si="15"/>
        <v>100</v>
      </c>
      <c r="R18" s="187">
        <f t="shared" si="15"/>
        <v>285</v>
      </c>
      <c r="S18" s="187">
        <f t="shared" si="15"/>
        <v>2267</v>
      </c>
      <c r="T18" s="187">
        <f t="shared" si="15"/>
        <v>2111</v>
      </c>
      <c r="U18" s="187">
        <f t="shared" si="15"/>
        <v>2239</v>
      </c>
      <c r="V18" s="187">
        <f t="shared" si="15"/>
        <v>2131</v>
      </c>
      <c r="W18" s="187">
        <f t="shared" si="15"/>
        <v>332</v>
      </c>
      <c r="X18" s="187">
        <f t="shared" si="15"/>
        <v>1358</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2267</v>
      </c>
      <c r="AZ18" s="187">
        <f>SUBTOTAL(9,AZ14:AZ17)</f>
        <v>2111</v>
      </c>
      <c r="BA18" s="187">
        <f>SUBTOTAL(9,BA14:BA17)</f>
        <v>2239</v>
      </c>
      <c r="BB18" s="187">
        <f>SUBTOTAL(9,BB14:BB17)</f>
        <v>2131</v>
      </c>
      <c r="BC18" s="187">
        <f>SUBTOTAL(9,BC14:BC17)</f>
        <v>332</v>
      </c>
      <c r="BD18" s="208">
        <f>IF(ISNUMBER(BA18/AZ18),BA18/AZ18," - ")</f>
        <v>1.0606347702510659</v>
      </c>
      <c r="BE18" s="209">
        <f>IF(ISNUMBER(BB18/BA18),BB18/BA18, " - ")</f>
        <v>0.9517641804376954</v>
      </c>
      <c r="BF18" s="209">
        <f>IF(ISNUMBER(BC18/BA18),BC18/BA18, " - ")</f>
        <v>0.14828048235819563</v>
      </c>
      <c r="BG18" s="210">
        <f>IF(ISNUMBER((AY18+AZ18)/BA18),(AY18+AZ18)/BA18," - ")</f>
        <v>1.9553372041089772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7976</v>
      </c>
      <c r="J19" s="134">
        <f t="shared" si="18"/>
        <v>4642</v>
      </c>
      <c r="K19" s="134">
        <f t="shared" si="18"/>
        <v>4398</v>
      </c>
      <c r="L19" s="134">
        <f t="shared" si="18"/>
        <v>8247</v>
      </c>
      <c r="M19" s="134">
        <f t="shared" si="18"/>
        <v>781</v>
      </c>
      <c r="N19" s="134">
        <f t="shared" si="18"/>
        <v>2060</v>
      </c>
      <c r="O19" s="134">
        <f t="shared" si="18"/>
        <v>1351</v>
      </c>
      <c r="P19" s="134">
        <f t="shared" si="18"/>
        <v>732</v>
      </c>
      <c r="Q19" s="134">
        <f t="shared" si="18"/>
        <v>1018</v>
      </c>
      <c r="R19" s="134">
        <f t="shared" si="18"/>
        <v>6459</v>
      </c>
      <c r="S19" s="134">
        <f t="shared" si="18"/>
        <v>6200</v>
      </c>
      <c r="T19" s="134">
        <f t="shared" si="18"/>
        <v>3994</v>
      </c>
      <c r="U19" s="134">
        <f t="shared" si="18"/>
        <v>3806</v>
      </c>
      <c r="V19" s="134">
        <f t="shared" si="18"/>
        <v>6381</v>
      </c>
      <c r="W19" s="134">
        <f t="shared" si="18"/>
        <v>706</v>
      </c>
      <c r="X19" s="134">
        <f t="shared" si="18"/>
        <v>2093</v>
      </c>
      <c r="Y19" s="134">
        <f t="shared" si="18"/>
        <v>172</v>
      </c>
      <c r="Z19" s="134">
        <f t="shared" si="18"/>
        <v>89</v>
      </c>
      <c r="AA19" s="134">
        <f t="shared" si="18"/>
        <v>111</v>
      </c>
      <c r="AB19" s="134">
        <f t="shared" si="18"/>
        <v>150</v>
      </c>
      <c r="AC19" s="134">
        <f t="shared" si="18"/>
        <v>0</v>
      </c>
      <c r="AD19" s="134">
        <f t="shared" si="18"/>
        <v>3</v>
      </c>
      <c r="AE19" s="134">
        <f t="shared" si="18"/>
        <v>3</v>
      </c>
      <c r="AF19" s="134">
        <f t="shared" si="18"/>
        <v>0</v>
      </c>
      <c r="AG19" s="134">
        <f t="shared" si="18"/>
        <v>166</v>
      </c>
      <c r="AH19" s="134">
        <f t="shared" si="18"/>
        <v>130</v>
      </c>
      <c r="AI19" s="134">
        <f t="shared" si="18"/>
        <v>116</v>
      </c>
      <c r="AJ19" s="134">
        <f t="shared" si="18"/>
        <v>180</v>
      </c>
      <c r="AK19" s="134">
        <f t="shared" si="18"/>
        <v>0</v>
      </c>
      <c r="AL19" s="134">
        <f t="shared" si="18"/>
        <v>0</v>
      </c>
      <c r="AM19" s="134">
        <f t="shared" si="18"/>
        <v>0</v>
      </c>
      <c r="AN19" s="213">
        <f t="shared" si="18"/>
        <v>0</v>
      </c>
      <c r="AO19" s="214">
        <v>10</v>
      </c>
      <c r="AP19" s="214">
        <v>10</v>
      </c>
      <c r="AQ19" s="214">
        <v>10</v>
      </c>
      <c r="AR19" s="214">
        <v>10</v>
      </c>
      <c r="AS19" s="156">
        <f t="shared" si="18"/>
        <v>0</v>
      </c>
      <c r="AT19" s="156">
        <f t="shared" si="18"/>
        <v>0</v>
      </c>
      <c r="AU19" s="214"/>
      <c r="AV19" s="215"/>
      <c r="AW19" s="214"/>
      <c r="AX19" s="215"/>
      <c r="AY19" s="133">
        <f>SUBTOTAL(9,AY9:AY18)</f>
        <v>6366</v>
      </c>
      <c r="AZ19" s="134">
        <f>SUBTOTAL(9,AZ9:AZ18)</f>
        <v>4124</v>
      </c>
      <c r="BA19" s="134">
        <f>SUBTOTAL(9,BA9:BA18)</f>
        <v>3922</v>
      </c>
      <c r="BB19" s="134">
        <f>SUBTOTAL(9,BB9:BB18)</f>
        <v>6561</v>
      </c>
      <c r="BC19" s="135">
        <f>SUBTOTAL(9,BC9:BC18)</f>
        <v>1069</v>
      </c>
      <c r="BD19" s="216">
        <f>IF(ISNUMBER(BA19/AZ19),BA19/AZ19," - ")</f>
        <v>0.95101842870999032</v>
      </c>
      <c r="BE19" s="213">
        <f>IF(ISNUMBER(BB19/BA19),BB19/BA19, " - ")</f>
        <v>1.6728709841917389</v>
      </c>
      <c r="BF19" s="213">
        <f>IF(ISNUMBER(BC19/BA19),BC19/BA19, " - ")</f>
        <v>0.27256501784803672</v>
      </c>
      <c r="BG19" s="135">
        <f>IF(ISNUMBER((AY19+AZ19)/BA19),(AY19+AZ19)/BA19," - ")</f>
        <v>2.674655787863335</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jEPGM4y0rSHXPhRX/PLlOxMmScoz3vN2lTTbj1/xCUGMnGxlAoPJ7wCS/U82fPdM6D0DYUVLipRgZvzvlTkg==" saltValue="0l72pAGm8jnX2eFNf44t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M5HUxP+I3seUFQMOPSTwGOKrJ6NfhR6+ReN2LUGwZTDZzb/jSRXnFssnjG0yatNfQEgwEUKMaz76GI4Lagm2Q==" saltValue="1uOWG1+cjhpuf5G6MPf4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BENIDORM</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89</v>
      </c>
      <c r="O9" s="337"/>
      <c r="P9" s="337"/>
      <c r="Q9" s="229">
        <f>IF(ISNUMBER(Datos!P9),Datos!P9,0)</f>
        <v>637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916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150</v>
      </c>
      <c r="AI9" s="337" t="str">
        <f>IF(ISNUMBER(Datos!CD9),Datos!CD9,"-")</f>
        <v>-</v>
      </c>
      <c r="AJ9" s="337" t="str">
        <f>IF(ISNUMBER(Datos!EN9),Datos!EN9," - ")</f>
        <v xml:space="preserve"> - </v>
      </c>
      <c r="AK9" s="337"/>
      <c r="AL9" s="482"/>
      <c r="AM9" s="338">
        <f>IF(ISNUMBER(Datos!R9),Datos!R9," - ")</f>
        <v>6095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396</v>
      </c>
      <c r="BD9" s="232">
        <f>IF(ISNUMBER(Datos!N9),Datos!N9," - ")</f>
        <v>835</v>
      </c>
      <c r="BE9" s="232" t="str">
        <f>IF(ISNUMBER(Datos!BW9),Datos!BW9," - ")</f>
        <v xml:space="preserve"> - </v>
      </c>
      <c r="BF9" s="231" t="str">
        <f>IF(ISNUMBER(Datos!BX9),Datos!BX9," - ")</f>
        <v xml:space="preserve"> - </v>
      </c>
      <c r="BG9" s="246">
        <f>IF(ISNUMBER(IF(J_V="SI",Datos!K9/Datos!J9,(Datos!K9+Datos!AA9)/(Datos!J9+Datos!Z9))),IF(J_V="SI",Datos!K9/Datos!J9,(Datos!K9+Datos!AA9)/(Datos!J9+Datos!Z9))," - ")</f>
        <v>1.087518647439085</v>
      </c>
      <c r="BH9" s="263">
        <f>IF(ISNUMBER(((IF(J_V="SI",Datos!L9/Datos!K9,(Datos!L9+Datos!AB9)/(Datos!K9+Datos!AA9)))*11)/factor_trimestre),((IF(J_V="SI",Datos!L9/Datos!K9,(Datos!L9+Datos!AB9)/(Datos!K9+Datos!AA9)))*11)/factor_trimestre," - ")</f>
        <v>7.4115226337448554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-4.3771572011295889E-2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51</v>
      </c>
      <c r="G10" s="336">
        <f>IF(ISNUMBER(Datos!I10),Datos!I10," - ")</f>
        <v>51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2</v>
      </c>
      <c r="AD10" s="337"/>
      <c r="AE10" s="487"/>
      <c r="AF10" s="335">
        <f>IF(ISNUMBER(Datos!L10),Datos!L10,"-")</f>
        <v>67</v>
      </c>
      <c r="AG10" s="337"/>
      <c r="AH10" s="337"/>
      <c r="AI10" s="337"/>
      <c r="AJ10" s="337"/>
      <c r="AK10" s="337"/>
      <c r="AL10" s="482"/>
      <c r="AM10" s="338">
        <f>IF(ISNUMBER(Datos!R10),Datos!R10," - ")</f>
        <v>49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12</v>
      </c>
      <c r="BE10" s="232" t="str">
        <f>IF(ISNUMBER(Datos!BW10),Datos!BW10," - ")</f>
        <v xml:space="preserve"> - </v>
      </c>
      <c r="BF10" s="231" t="str">
        <f>IF(ISNUMBER(Datos!BX10),Datos!BX10," - ")</f>
        <v xml:space="preserve"> - </v>
      </c>
      <c r="BG10" s="246">
        <f>IF(ISNUMBER(Datos!K10/Datos!J10),Datos!K10/Datos!J10," - ")</f>
        <v>0.58974358974358976</v>
      </c>
      <c r="BH10" s="263">
        <f>IF(ISNUMBER(((Datos!L10/Datos!K10)*11)/factor_trimestre),((Datos!L10/Datos!K10)*11)/factor_trimestre," - ")</f>
        <v>8.7391304347826075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0.13953488372093023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51</v>
      </c>
      <c r="G13" s="901">
        <f t="shared" si="0"/>
        <v>51</v>
      </c>
      <c r="H13" s="902">
        <f t="shared" si="0"/>
        <v>0</v>
      </c>
      <c r="I13" s="901">
        <f t="shared" si="0"/>
        <v>0</v>
      </c>
      <c r="J13" s="870">
        <f t="shared" si="0"/>
        <v>0</v>
      </c>
      <c r="K13" s="870">
        <f t="shared" si="0"/>
        <v>0</v>
      </c>
      <c r="L13" s="902">
        <f t="shared" si="0"/>
        <v>0</v>
      </c>
      <c r="M13" s="902">
        <f t="shared" si="0"/>
        <v>0</v>
      </c>
      <c r="N13" s="902">
        <f t="shared" si="0"/>
        <v>89</v>
      </c>
      <c r="O13" s="903">
        <f t="shared" si="0"/>
        <v>0</v>
      </c>
      <c r="P13" s="903">
        <f t="shared" si="0"/>
        <v>0</v>
      </c>
      <c r="Q13" s="902">
        <f t="shared" si="0"/>
        <v>645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918</v>
      </c>
      <c r="AD13" s="902">
        <f t="shared" si="1"/>
        <v>0</v>
      </c>
      <c r="AE13" s="902">
        <f t="shared" si="1"/>
        <v>0</v>
      </c>
      <c r="AF13" s="902">
        <f t="shared" si="1"/>
        <v>67</v>
      </c>
      <c r="AG13" s="902">
        <f t="shared" si="1"/>
        <v>0</v>
      </c>
      <c r="AH13" s="902">
        <f t="shared" si="1"/>
        <v>150</v>
      </c>
      <c r="AI13" s="902">
        <f t="shared" si="1"/>
        <v>0</v>
      </c>
      <c r="AJ13" s="902">
        <f t="shared" si="1"/>
        <v>0</v>
      </c>
      <c r="AK13" s="902">
        <f t="shared" si="1"/>
        <v>0</v>
      </c>
      <c r="AL13" s="902">
        <f t="shared" si="1"/>
        <v>0</v>
      </c>
      <c r="AM13" s="902">
        <f t="shared" si="1"/>
        <v>6174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401</v>
      </c>
      <c r="BD13" s="902">
        <f t="shared" si="1"/>
        <v>847</v>
      </c>
      <c r="BE13" s="902">
        <f t="shared" si="1"/>
        <v>0</v>
      </c>
      <c r="BF13" s="902">
        <f t="shared" si="1"/>
        <v>0</v>
      </c>
      <c r="BG13" s="902">
        <f>IF(ISNUMBER(Datos!K13/Datos!J13),Datos!K13/Datos!J13," - ")</f>
        <v>1.0703722590515043</v>
      </c>
      <c r="BH13" s="906">
        <f>IF(ISNUMBER(((Datos!L13/Datos!K13)*11)/factor_trimestre),((Datos!L13/Datos!K13)*11)/factor_trimestre," - ")</f>
        <v>7.6064792758456408</v>
      </c>
      <c r="BI13" s="902">
        <f>IF(ISNUMBER('Resol  Asuntos'!D13/NºAsuntos!G13),'Resol  Asuntos'!D13/NºAsuntos!G13," - ")</f>
        <v>0.18144796380090497</v>
      </c>
      <c r="BJ13" s="902" t="str">
        <f>IF(ISNUMBER(Datos!CI13/Datos!CJ13),Datos!CI13/Datos!CJ13," - ")</f>
        <v xml:space="preserve"> - </v>
      </c>
      <c r="BK13" s="902">
        <f>SUBTOTAL(9,BK8:BK12)</f>
        <v>0</v>
      </c>
      <c r="BL13" s="902">
        <f>IF(ISNUMBER((I13-AB13+L13)/(F13)),(I13-AB13+L13)/(F13)," - ")</f>
        <v>-0.45098039215686275</v>
      </c>
      <c r="BM13" s="907">
        <f>SUBTOTAL(9,BM9:BM12)</f>
        <v>9.5763311709634341E-2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2348</v>
      </c>
      <c r="G15" s="601">
        <f>IF(ISNUMBER(IF(D_I="SI",Datos!I15,Datos!I15+Datos!AC15)),IF(D_I="SI",Datos!I15,Datos!I15+Datos!AC15)," - ")</f>
        <v>2324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1845</v>
      </c>
      <c r="AC15" s="229">
        <f>IF(ISNUMBER(Datos!Q15),Datos!Q15," - ")</f>
        <v>96</v>
      </c>
      <c r="AD15" s="337"/>
      <c r="AE15" s="487"/>
      <c r="AF15" s="599">
        <f>IF(ISNUMBER(IF(D_I="SI",Datos!L15,Datos!L15+Datos!AF15)),IF(D_I="SI",Datos!L15,Datos!L15+Datos!AF15)," - ")</f>
        <v>2706</v>
      </c>
      <c r="AG15" s="337"/>
      <c r="AH15" s="337"/>
      <c r="AI15" s="337"/>
      <c r="AJ15" s="337"/>
      <c r="AK15" s="337"/>
      <c r="AL15" s="482"/>
      <c r="AM15" s="338">
        <f>IF(ISNUMBER(Datos!R15),Datos!R15," - ")</f>
        <v>275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318</v>
      </c>
      <c r="BD15" s="232">
        <f>IF(ISNUMBER(Datos!N15),Datos!N15," - ")</f>
        <v>1023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0.83749432591920114</v>
      </c>
      <c r="BH15" s="263">
        <f>IF(ISNUMBER(((IF(D_I="SI",Datos!L15/Datos!K15,(Datos!L15+Datos!AF15)/(Datos!K15+Datos!AE15)))*11)/factor_trimestre),((IF(D_I="SI",Datos!L15/Datos!K15,(Datos!L15+Datos!AF15)/(Datos!K15+Datos!AE15)))*11)/factor_trimestre," - ")</f>
        <v>4.4000000000000004</v>
      </c>
      <c r="BI15" s="246">
        <f>IF(ISNUMBER('Resol  Asuntos'!D15/NºAsuntos!G15),'Resol  Asuntos'!D15/NºAsuntos!G15," - ")</f>
        <v>0.17235772357723578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2</v>
      </c>
      <c r="G16" s="601">
        <f>IF(ISNUMBER(IF(D_I="SI",Datos!I16,Datos!I16+Datos!AC16)),IF(D_I="SI",Datos!I16,Datos!I16+Datos!AC16)," - ")</f>
        <v>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2</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454</v>
      </c>
      <c r="AC17" s="229">
        <f>IF(ISNUMBER(Datos!Q17),Datos!Q17," - ")</f>
        <v>4</v>
      </c>
      <c r="AD17" s="337"/>
      <c r="AE17" s="487"/>
      <c r="AF17" s="335">
        <f>IF(ISNUMBER(Datos!L17),Datos!L17,"-")</f>
        <v>217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62</v>
      </c>
      <c r="BD17" s="232">
        <f>IF(ISNUMBER(Datos!N17),Datos!N17," - ")</f>
        <v>190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0.94979079497907948</v>
      </c>
      <c r="BH17" s="263">
        <f>IF(ISNUMBER(((IF(D_I="SI",Datos!L17/Datos!K17,(Datos!L17+Datos!AF17)/(Datos!K17+Datos!AE17)))*11)/factor_trimestre),((IF(D_I="SI",Datos!L17/Datos!K17,(Datos!L17+Datos!AF17)/(Datos!K17+Datos!AE17)))*11)/factor_trimestre," - ")</f>
        <v>1.4339207048458149</v>
      </c>
      <c r="BI17" s="246">
        <f>IF(ISNUMBER('Resol  Asuntos'!D17/NºAsuntos!G17),'Resol  Asuntos'!D17/NºAsuntos!G17," - ")</f>
        <v>0.13656387665198239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2350</v>
      </c>
      <c r="G18" s="901">
        <f>SUBTOTAL(9,G15:G17)</f>
        <v>2518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2299</v>
      </c>
      <c r="AC18" s="902">
        <f t="shared" si="4"/>
        <v>100</v>
      </c>
      <c r="AD18" s="902">
        <f t="shared" si="4"/>
        <v>0</v>
      </c>
      <c r="AE18" s="902">
        <f t="shared" si="4"/>
        <v>0</v>
      </c>
      <c r="AF18" s="902">
        <f t="shared" si="4"/>
        <v>2925</v>
      </c>
      <c r="AG18" s="902">
        <f t="shared" si="4"/>
        <v>0</v>
      </c>
      <c r="AH18" s="902">
        <f t="shared" si="4"/>
        <v>0</v>
      </c>
      <c r="AI18" s="902">
        <f t="shared" si="4"/>
        <v>0</v>
      </c>
      <c r="AJ18" s="902">
        <f t="shared" si="4"/>
        <v>0</v>
      </c>
      <c r="AK18" s="902">
        <f t="shared" si="4"/>
        <v>0</v>
      </c>
      <c r="AL18" s="902">
        <f t="shared" si="4"/>
        <v>0</v>
      </c>
      <c r="AM18" s="902">
        <f t="shared" si="4"/>
        <v>285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380</v>
      </c>
      <c r="BD18" s="902">
        <f t="shared" si="4"/>
        <v>1213</v>
      </c>
      <c r="BE18" s="902">
        <f t="shared" si="4"/>
        <v>0</v>
      </c>
      <c r="BF18" s="902">
        <f t="shared" si="4"/>
        <v>0</v>
      </c>
      <c r="BG18" s="902">
        <f>IF(ISNUMBER(Datos!K18/Datos!J18),Datos!K18/Datos!J18," - ")</f>
        <v>0.85751585229392013</v>
      </c>
      <c r="BH18" s="906">
        <f>IF(ISNUMBER(((Datos!L18/Datos!K18)*11)/factor_trimestre),((Datos!L18/Datos!K18)*11)/factor_trimestre," - ")</f>
        <v>3.816876903001305</v>
      </c>
      <c r="BI18" s="902">
        <f>SUBTOTAL(9,BI15:BI17)</f>
        <v>0.30892160022921816</v>
      </c>
      <c r="BJ18" s="902">
        <f>SUBTOTAL(9,BJ15:BJ17)</f>
        <v>0</v>
      </c>
      <c r="BK18" s="902">
        <f>SUBTOTAL(9,BK15:BK17)</f>
        <v>0</v>
      </c>
      <c r="BL18" s="902">
        <f>IF(ISNUMBER((I18-AB18+L18)/(F18)),(I18-AB18+L18)/(F18)," - ")</f>
        <v>-0.97829787234042553</v>
      </c>
      <c r="BM18" s="908">
        <f>IF(ISNUMBER((Datos!P18-Datos!Q18)/(Datos!R18-Datos!P18+Datos!Q18)),(Datos!P18-Datos!Q18)/(Datos!R18-Datos!P18+Datos!Q18)," - ")</f>
        <v>-4.3624161073825503E-2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11</v>
      </c>
      <c r="F19" s="823">
        <f t="shared" si="6"/>
        <v>2401</v>
      </c>
      <c r="G19" s="823">
        <f t="shared" si="6"/>
        <v>2569</v>
      </c>
      <c r="H19" s="825">
        <f t="shared" si="6"/>
        <v>0</v>
      </c>
      <c r="I19" s="823">
        <f t="shared" si="6"/>
        <v>0</v>
      </c>
      <c r="J19" s="825">
        <f t="shared" si="6"/>
        <v>0</v>
      </c>
      <c r="K19" s="825">
        <f t="shared" si="6"/>
        <v>0</v>
      </c>
      <c r="L19" s="884">
        <f t="shared" si="6"/>
        <v>0</v>
      </c>
      <c r="M19" s="884">
        <f t="shared" si="6"/>
        <v>0</v>
      </c>
      <c r="N19" s="884">
        <f t="shared" si="6"/>
        <v>89</v>
      </c>
      <c r="O19" s="884">
        <f t="shared" si="6"/>
        <v>0</v>
      </c>
      <c r="P19" s="884">
        <f t="shared" si="6"/>
        <v>0</v>
      </c>
      <c r="Q19" s="825">
        <f t="shared" si="6"/>
        <v>732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2322</v>
      </c>
      <c r="AC19" s="824">
        <f t="shared" si="7"/>
        <v>1018</v>
      </c>
      <c r="AD19" s="824">
        <f t="shared" si="7"/>
        <v>0</v>
      </c>
      <c r="AE19" s="824">
        <f t="shared" si="7"/>
        <v>0</v>
      </c>
      <c r="AF19" s="831">
        <f t="shared" si="7"/>
        <v>2992</v>
      </c>
      <c r="AG19" s="831">
        <f t="shared" si="7"/>
        <v>0</v>
      </c>
      <c r="AH19" s="831">
        <f t="shared" si="7"/>
        <v>150</v>
      </c>
      <c r="AI19" s="831">
        <f t="shared" si="7"/>
        <v>0</v>
      </c>
      <c r="AJ19" s="824">
        <f t="shared" si="7"/>
        <v>0</v>
      </c>
      <c r="AK19" s="831">
        <f t="shared" si="7"/>
        <v>0</v>
      </c>
      <c r="AL19" s="831">
        <f t="shared" si="7"/>
        <v>0</v>
      </c>
      <c r="AM19" s="831">
        <f t="shared" si="7"/>
        <v>6459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781</v>
      </c>
      <c r="BD19" s="823">
        <f t="shared" si="7"/>
        <v>2060</v>
      </c>
      <c r="BE19" s="823">
        <f t="shared" si="7"/>
        <v>0</v>
      </c>
      <c r="BF19" s="833">
        <f t="shared" si="7"/>
        <v>0</v>
      </c>
      <c r="BG19" s="918">
        <f>IF(ISNUMBER(Datos!K19/Datos!J19),Datos!K19/Datos!J19," - ")</f>
        <v>0.94743644980611808</v>
      </c>
      <c r="BH19" s="918">
        <f>IF(ISNUMBER(((Datos!L19/Datos!K19)*11)/factor_trimestre),((Datos!L19/Datos!K19)*11)/factor_trimestre," - ")</f>
        <v>5.6255115961800826</v>
      </c>
      <c r="BI19" s="816">
        <f>IF(ISNUMBER(Datos!J19/Datos!I19),Datos!J19/Datos!I19," - ")</f>
        <v>0.58199598796389163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-0.96709704289879217</v>
      </c>
      <c r="BM19" s="892">
        <f>IF(ISNUMBER((Datos!P19-Datos!Q19+R19)/(Datos!R19-Datos!P19+Datos!Q19-R19)),(Datos!P19-Datos!Q19+R19)/(Datos!R19-Datos!P19+Datos!Q19-R19)," - ")</f>
        <v>-4.2401779095626389E-2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856.33333333333337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2.5055493963954847</v>
      </c>
      <c r="F21" s="554">
        <f>IF(ISNUMBER(STDEV(F8:F18)),STDEV(F8:F18),"-")</f>
        <v>1267.7706022778727</v>
      </c>
      <c r="G21" s="555">
        <f>IF(ISNUMBER(STDEV(G8:G18)),STDEV(G8:G18),"-")</f>
        <v>1215.197871404763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1029.7712367317317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193.47554293575641</v>
      </c>
      <c r="BD21" s="554"/>
      <c r="BE21" s="554">
        <f>IF(ISNUMBER(STDEV(BE8:BE18)),STDEV(BE8:BE18),"-")</f>
        <v>0</v>
      </c>
      <c r="BF21" s="559">
        <f>IF(ISNUMBER(STDEV(BF8:BF18)),STDEV(BF8:BF18),"-")</f>
        <v>0</v>
      </c>
      <c r="BG21" s="778">
        <f>IF(ISNUMBER(STDEV(BG8:BG18)),STDEV(BG8:BG18),"-")</f>
        <v>0.18364663799791234</v>
      </c>
      <c r="BH21" s="779">
        <f>IF(ISNUMBER(STDEV(BH8:BH18)),STDEV(BH8:BH18),"-")</f>
        <v>2.7975456890722392</v>
      </c>
      <c r="BI21" s="252">
        <f>IF(ISNUMBER(STDEV(BI8:BI18)),STDEV(BI8:BI18),"-")</f>
        <v>7.5268861695605857E-2</v>
      </c>
      <c r="BJ21" s="233" t="str">
        <f>IF(ISNUMBER(BL21/BM21),BL21/BM21," - ")</f>
        <v xml:space="preserve"> - </v>
      </c>
      <c r="BK21" s="578"/>
      <c r="BL21" s="562">
        <f>IF(ISNUMBER(STDEV(BL8:BL18)),STDEV(BL8:BL18),"-")</f>
        <v>0.37286976607599992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81BOSxrZlQ9JaPEDsqCOkq033Kku4VVM7/xjPflkIfdt2H41KFuduOJ7PkQpe4Qsa9kRBcTYfrexnCKudaA7Q==" saltValue="Lrrj2lmonOFir1KV42IX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BENIDORM</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637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916</v>
      </c>
      <c r="AA9" s="335" t="str">
        <f>IF(ISNUMBER(IF(J_V="SI",Datos!L9,Datos!L9+Datos!AB9)-IF(Monitorios="SI",Datos!CD9,0)),
                          IF(J_V="SI",Datos!L9,Datos!L9+Datos!AB9)-IF(Monitorios="SI",Datos!CD9,0),
                          " - ")</f>
        <v xml:space="preserve"> - </v>
      </c>
      <c r="AB9" s="337"/>
      <c r="AC9" s="337"/>
      <c r="AD9" s="487"/>
      <c r="AE9" s="487">
        <f>IF(ISNUMBER(Datos!R9),Datos!R9," - ")</f>
        <v>6095</v>
      </c>
      <c r="AF9" s="232" t="str">
        <f>IF(ISNUMBER(Datos!BV9),Datos!BV9," - ")</f>
        <v xml:space="preserve"> - </v>
      </c>
      <c r="AG9" s="228" t="str">
        <f>IF(ISNUMBER(Datos!DV9),Datos!DV9," - ")</f>
        <v xml:space="preserve"> - </v>
      </c>
      <c r="AH9" s="301"/>
      <c r="AI9" s="230"/>
      <c r="AJ9" s="228">
        <f>IF(ISNUMBER(Datos!M9),Datos!M9," - ")</f>
        <v>396</v>
      </c>
      <c r="AK9" s="232">
        <f>IF(ISNUMBER(Datos!N9),Datos!N9," - ")</f>
        <v>835</v>
      </c>
      <c r="AL9" s="232" t="str">
        <f>IF(ISNUMBER(Datos!BW9),Datos!BW9," - ")</f>
        <v xml:space="preserve"> - </v>
      </c>
      <c r="AM9" s="231" t="str">
        <f>IF(ISNUMBER(Datos!BX9),Datos!BX9," - ")</f>
        <v xml:space="preserve"> - </v>
      </c>
      <c r="AN9" s="246"/>
      <c r="AO9" s="263">
        <f>IF(ISNUMBER(((NºAsuntos!I9/NºAsuntos!G9)*11)/factor_trimestre),((NºAsuntos!I9/NºAsuntos!G9)*11)/factor_trimestre," - ")</f>
        <v>7.4115226337448554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-4.3771572011295889E-2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51</v>
      </c>
      <c r="G10" s="228">
        <f>IF(ISNUMBER(Datos!I10),Datos!I10," - ")</f>
        <v>51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2</v>
      </c>
      <c r="AA10" s="335">
        <f>IF(ISNUMBER(Datos!L10),Datos!L10,"-")</f>
        <v>67</v>
      </c>
      <c r="AB10" s="337"/>
      <c r="AC10" s="337"/>
      <c r="AD10" s="487"/>
      <c r="AE10" s="487">
        <f>IF(ISNUMBER(Datos!R10),Datos!R10," - ")</f>
        <v>49</v>
      </c>
      <c r="AF10" s="232" t="str">
        <f>IF(ISNUMBER(Datos!BV10),Datos!BV10," - ")</f>
        <v xml:space="preserve"> - </v>
      </c>
      <c r="AG10" s="228" t="str">
        <f>IF(ISNUMBER(Datos!DV10),Datos!DV10," - ")</f>
        <v xml:space="preserve"> - </v>
      </c>
      <c r="AH10" s="301"/>
      <c r="AI10" s="230"/>
      <c r="AJ10" s="228">
        <f>IF(ISNUMBER(Datos!M10),Datos!M10," - ")</f>
        <v>5</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8.7391304347826075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0.13953488372093023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0</v>
      </c>
      <c r="AA12" s="335" t="str">
        <f>IF(ISNUMBER(IF(J_V="SI",Datos!L12,Datos!L12+Datos!AB12)-IF(Monitorios="SI",Datos!CD12,0)),
                          IF(J_V="SI",Datos!L12,Datos!L12+Datos!AB12)-IF(Monitorios="SI",Datos!CD12,0),
                          " - ")</f>
        <v xml:space="preserve"> - </v>
      </c>
      <c r="AB12" s="337"/>
      <c r="AC12" s="337"/>
      <c r="AD12" s="487"/>
      <c r="AE12" s="487">
        <f>IF(ISNUMBER(Datos!R12),Datos!R12," - ")</f>
        <v>30</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51</v>
      </c>
      <c r="G13" s="901">
        <f>SUBTOTAL(9,G8:G12)</f>
        <v>51</v>
      </c>
      <c r="H13" s="911"/>
      <c r="I13" s="901">
        <f t="shared" ref="I13:N13" si="0">SUBTOTAL(9,I8:I12)</f>
        <v>0</v>
      </c>
      <c r="J13" s="870">
        <f t="shared" si="0"/>
        <v>0</v>
      </c>
      <c r="K13" s="911">
        <f t="shared" si="0"/>
        <v>0</v>
      </c>
      <c r="L13" s="911">
        <f t="shared" si="0"/>
        <v>0</v>
      </c>
      <c r="M13" s="911">
        <f t="shared" si="0"/>
        <v>0</v>
      </c>
      <c r="N13" s="911">
        <f t="shared" si="0"/>
        <v>645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918</v>
      </c>
      <c r="AA13" s="903">
        <f t="shared" si="2"/>
        <v>67</v>
      </c>
      <c r="AB13" s="903">
        <f t="shared" si="2"/>
        <v>0</v>
      </c>
      <c r="AC13" s="903">
        <f t="shared" si="2"/>
        <v>0</v>
      </c>
      <c r="AD13" s="903">
        <f t="shared" si="2"/>
        <v>0</v>
      </c>
      <c r="AE13" s="903">
        <f t="shared" si="2"/>
        <v>6174</v>
      </c>
      <c r="AF13" s="911">
        <f t="shared" si="2"/>
        <v>0</v>
      </c>
      <c r="AG13" s="911">
        <f t="shared" si="2"/>
        <v>0</v>
      </c>
      <c r="AH13" s="911">
        <f t="shared" si="2"/>
        <v>0</v>
      </c>
      <c r="AI13" s="911">
        <f t="shared" si="2"/>
        <v>0</v>
      </c>
      <c r="AJ13" s="911">
        <f t="shared" si="2"/>
        <v>401</v>
      </c>
      <c r="AK13" s="911">
        <f t="shared" si="2"/>
        <v>847</v>
      </c>
      <c r="AL13" s="911">
        <f t="shared" si="2"/>
        <v>0</v>
      </c>
      <c r="AM13" s="911">
        <f t="shared" si="2"/>
        <v>0</v>
      </c>
      <c r="AN13" s="911">
        <f t="shared" si="2"/>
        <v>0</v>
      </c>
      <c r="AO13" s="907">
        <f>IF(ISNUMBER(((NºAsuntos!I13/NºAsuntos!G13)*11)/factor_trimestre),((NºAsuntos!I13/NºAsuntos!G13)*11)/factor_trimestre," - ")</f>
        <v>7.4280542986425351</v>
      </c>
      <c r="AP13" s="913" t="str">
        <f>IF(ISNUMBER(Datos!CI13/Datos!CJ13),Datos!CI13/Datos!CJ13," - ")</f>
        <v xml:space="preserve"> - </v>
      </c>
      <c r="AQ13" s="931">
        <f t="shared" ref="AQ13:AV13" si="3">SUBTOTAL(9,AQ9:AQ12)</f>
        <v>0</v>
      </c>
      <c r="AR13" s="931">
        <f t="shared" si="3"/>
        <v>9.5763311709634341E-2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2348</v>
      </c>
      <c r="G15" s="228">
        <f>IF(ISNUMBER(IF(D_I="SI",Datos!I15,Datos!I15+Datos!AC15)),IF(D_I="SI",Datos!I15,Datos!I15+Datos!AC15)," - ")</f>
        <v>2324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1845</v>
      </c>
      <c r="Z15" s="622">
        <f>IF(ISNUMBER(Datos!Q15),Datos!Q15," - ")</f>
        <v>96</v>
      </c>
      <c r="AA15" s="335">
        <f>IF(ISNUMBER(IF(D_I="SI",Datos!L15,Datos!L15+Datos!AF15)),IF(D_I="SI",Datos!L15,Datos!L15+Datos!AF15)," - ")</f>
        <v>2706</v>
      </c>
      <c r="AB15" s="337"/>
      <c r="AC15" s="337"/>
      <c r="AD15" s="487"/>
      <c r="AE15" s="487">
        <f>IF(ISNUMBER(Datos!R15),Datos!R15," - ")</f>
        <v>275</v>
      </c>
      <c r="AF15" s="232" t="str">
        <f>IF(ISNUMBER(Datos!BV15),Datos!BV15," - ")</f>
        <v xml:space="preserve"> - </v>
      </c>
      <c r="AG15" s="228"/>
      <c r="AH15" s="301"/>
      <c r="AI15" s="230"/>
      <c r="AJ15" s="228">
        <f>IF(ISNUMBER(Datos!M15),Datos!M15," - ")</f>
        <v>318</v>
      </c>
      <c r="AK15" s="232">
        <f>IF(ISNUMBER(Datos!N15),Datos!N15," - ")</f>
        <v>1023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4.4000000000000004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2</v>
      </c>
      <c r="G16" s="228">
        <f>IF(ISNUMBER(IF(D_I="SI",Datos!I16,Datos!I16+Datos!AC16)),IF(D_I="SI",Datos!I16,Datos!I16+Datos!AC16)," - ")</f>
        <v>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2</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454</v>
      </c>
      <c r="Z17" s="622">
        <f>IF(ISNUMBER(Datos!Q17),Datos!Q17," - ")</f>
        <v>4</v>
      </c>
      <c r="AA17" s="335">
        <f>IF(ISNUMBER(Datos!L17),Datos!L17,"-")</f>
        <v>217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62</v>
      </c>
      <c r="AK17" s="232">
        <f>IF(ISNUMBER(Datos!N17),Datos!N17," - ")</f>
        <v>190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1.4339207048458149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2350</v>
      </c>
      <c r="G18" s="901">
        <f>SUBTOTAL(9,G15:G17)</f>
        <v>2518</v>
      </c>
      <c r="H18" s="935">
        <f>SUBTOTAL(9,H15:H17)</f>
        <v>0</v>
      </c>
      <c r="I18" s="914">
        <f>SUBTOTAL(9,I15:I17)</f>
        <v>0</v>
      </c>
      <c r="J18" s="870">
        <f>SUBTOTAL(9,J14:J17)</f>
        <v>0</v>
      </c>
      <c r="K18" s="935">
        <f t="shared" ref="K18:S18" si="4">SUBTOTAL(9,K15:K17)</f>
        <v>0</v>
      </c>
      <c r="L18" s="935">
        <f t="shared" si="4"/>
        <v>0</v>
      </c>
      <c r="M18" s="935">
        <f t="shared" si="4"/>
        <v>0</v>
      </c>
      <c r="N18" s="935">
        <f t="shared" si="4"/>
        <v>87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2299</v>
      </c>
      <c r="Z18" s="935">
        <f t="shared" si="5"/>
        <v>100</v>
      </c>
      <c r="AA18" s="935">
        <f t="shared" si="5"/>
        <v>2925</v>
      </c>
      <c r="AB18" s="935">
        <f t="shared" si="5"/>
        <v>0</v>
      </c>
      <c r="AC18" s="935">
        <f t="shared" si="5"/>
        <v>0</v>
      </c>
      <c r="AD18" s="935">
        <f t="shared" si="5"/>
        <v>0</v>
      </c>
      <c r="AE18" s="935">
        <f t="shared" si="5"/>
        <v>285</v>
      </c>
      <c r="AF18" s="935">
        <f t="shared" si="5"/>
        <v>0</v>
      </c>
      <c r="AG18" s="935">
        <f t="shared" si="5"/>
        <v>0</v>
      </c>
      <c r="AH18" s="935">
        <f t="shared" si="5"/>
        <v>0</v>
      </c>
      <c r="AI18" s="935">
        <f t="shared" si="5"/>
        <v>0</v>
      </c>
      <c r="AJ18" s="935">
        <f t="shared" si="5"/>
        <v>380</v>
      </c>
      <c r="AK18" s="935">
        <f t="shared" si="5"/>
        <v>1213</v>
      </c>
      <c r="AL18" s="935">
        <f t="shared" si="5"/>
        <v>0</v>
      </c>
      <c r="AM18" s="935">
        <f t="shared" si="5"/>
        <v>0</v>
      </c>
      <c r="AN18" s="935">
        <f t="shared" si="5"/>
        <v>0</v>
      </c>
      <c r="AO18" s="937">
        <f>IF(ISNUMBER(((NºAsuntos!I18/NºAsuntos!G18)*11)/factor_trimestre),((NºAsuntos!I18/NºAsuntos!G18)*11)/factor_trimestre," - ")</f>
        <v>3.816876903001305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2401</v>
      </c>
      <c r="G19" s="823">
        <f t="shared" si="7"/>
        <v>2569</v>
      </c>
      <c r="H19" s="824">
        <f t="shared" si="7"/>
        <v>0</v>
      </c>
      <c r="I19" s="823">
        <f t="shared" si="7"/>
        <v>0</v>
      </c>
      <c r="J19" s="825">
        <f t="shared" si="7"/>
        <v>0</v>
      </c>
      <c r="K19" s="823">
        <f t="shared" si="7"/>
        <v>0</v>
      </c>
      <c r="L19" s="826">
        <f t="shared" si="7"/>
        <v>0</v>
      </c>
      <c r="M19" s="823">
        <f t="shared" si="7"/>
        <v>0</v>
      </c>
      <c r="N19" s="824">
        <f t="shared" si="7"/>
        <v>732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2322</v>
      </c>
      <c r="Z19" s="830">
        <f t="shared" si="8"/>
        <v>1018</v>
      </c>
      <c r="AA19" s="831">
        <f t="shared" si="8"/>
        <v>2992</v>
      </c>
      <c r="AB19" s="831">
        <f t="shared" si="8"/>
        <v>0</v>
      </c>
      <c r="AC19" s="831">
        <f t="shared" si="8"/>
        <v>0</v>
      </c>
      <c r="AD19" s="832">
        <f t="shared" si="8"/>
        <v>0</v>
      </c>
      <c r="AE19" s="832">
        <f t="shared" si="8"/>
        <v>6459</v>
      </c>
      <c r="AF19" s="833">
        <f t="shared" si="8"/>
        <v>0</v>
      </c>
      <c r="AG19" s="834">
        <f t="shared" si="8"/>
        <v>0</v>
      </c>
      <c r="AH19" s="835">
        <f t="shared" si="8"/>
        <v>0</v>
      </c>
      <c r="AI19" s="833">
        <f t="shared" si="8"/>
        <v>0</v>
      </c>
      <c r="AJ19" s="823">
        <f t="shared" si="8"/>
        <v>781</v>
      </c>
      <c r="AK19" s="823">
        <f t="shared" si="8"/>
        <v>2060</v>
      </c>
      <c r="AL19" s="823">
        <f t="shared" si="8"/>
        <v>0</v>
      </c>
      <c r="AM19" s="836">
        <f t="shared" si="8"/>
        <v>0</v>
      </c>
      <c r="AN19" s="826">
        <f>IF(ISNUMBER(Datos!K19/Datos!J19),Datos!K19/Datos!J19," - ")</f>
        <v>0.94743644980611808</v>
      </c>
      <c r="AO19" s="826">
        <f>IF(ISNUMBER(FIND("06",Criterios!A8,1)),(IF(ISNUMBER(((Datos!R19/Datos!Q19)*11)/factor_trimestre),((Datos!R19/Datos!Q19)*11)/factor_trimestre," - ")),(IF(ISNUMBER(((Datos!L19/Datos!K19)*11)/factor_trimestre),((Datos!L19/Datos!K19)*11)/factor_trimestre," - ")))</f>
        <v>5.6255115961800826</v>
      </c>
      <c r="AP19" s="837" t="str">
        <f>IF(ISNUMBER(Datos!CI19/Datos!CJ19),Datos!CI19/Datos!CJ19," - ")</f>
        <v xml:space="preserve"> - </v>
      </c>
      <c r="AQ19" s="837">
        <f>IF(OR(ISNUMBER(FIND("01",Criterios!A8,1)),ISNUMBER(FIND("02",Criterios!A8,1)),ISNUMBER(FIND("03",Criterios!A8,1)),ISNUMBER(FIND("04",Criterios!A8,1))),(J19-Y19+K19)/(F19-K19),(I19-Y19+K19)/(F19-K19))</f>
        <v>-0.96709704289879217</v>
      </c>
      <c r="AR19" s="837">
        <f>IF(ISNUMBER((Datos!P19-Datos!Q19+O19)/(Datos!R19-Datos!P19+Datos!Q19-O19)),(Datos!P19-Datos!Q19+O19)/(Datos!R19-Datos!P19+Datos!Q19-O19)," - ")</f>
        <v>-4.2401779095626389E-2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856.33333333333337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1267.7706022778727</v>
      </c>
      <c r="G21" s="555">
        <f>IF(ISNUMBER(STDEV(G8:G18)),STDEV(G8:G18),"-")</f>
        <v>1215.197871404763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193.47554293575641</v>
      </c>
      <c r="AK21" s="255"/>
      <c r="AL21" s="255">
        <f>IF(ISNUMBER(STDEV(AL8:AL18)),STDEV(AL8:AL18),"-")</f>
        <v>0</v>
      </c>
      <c r="AM21" s="257">
        <f>IF(ISNUMBER(STDEV(AM8:AM18)),STDEV(AM8:AM18),"-")</f>
        <v>0</v>
      </c>
      <c r="AN21" s="542">
        <f>IF(ISNUMBER(STDEV(AN8:AN18)),STDEV(AN8:AN18),"-")</f>
        <v>0</v>
      </c>
      <c r="AO21" s="543">
        <f>IF(ISNUMBER(STDEV(AO8:AO18)),STDEV(AO8:AO18),"-")</f>
        <v>2.7723781693667608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I2zVtKkSOa4HKr0CpoyMvWlQYzmhPJezx1JWqa0hQwokmlFMWhrH+yfxo0L/T3jLRuDgvG2+U1PMK0d4iMn5Q==" saltValue="9MxI9InM/kD64Ne57ucK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EzwDBgemfVJt3Ua7hYB0ZH8S+0veCXInFBFhbgmysIWdklcWmrO7O61wEudl+h1Neaq70PkkO1waQPn3vq1NQ==" saltValue="GtpLIqq1mJ5K6C68gxum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PwPPPw8yjo2w3w/nmSs/qOduf3XR3i6bdzdQ8HwR8LRh19J9nS0VcSaMqnswLGSgY0y9Clmn02zpGTKUqvRg==" saltValue="jrc5cNiDC5yg+PUqE48Q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BENIDORM</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0.18144796380090497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0.12830308563611112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5i/73hE3kHevb0f7PwR+4pYNHTMzr0PDF4jovnZBQJffGBzuO5513CIJIfmks2hxjTou0RE9G/UNUcixIv1lg==" saltValue="5RJ6FgXzSxGEVHp/BPwb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RtKtBns2d7Sd3L12QQm5wVNvoCFaVb1ABm+pO+iLKLZBpWc+jWH8w6yvdGcSCgIjORE0k0IFMB0Wz5PaJ16DtA==" saltValue="gWbYuWzkaupq0z+U6/gc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BENIDORM</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5577</v>
      </c>
      <c r="D9" s="407">
        <f>IF(ISNUMBER(C9/Datos!BH9),C9/Datos!BH9," - ")</f>
        <v>1115.4000000000001</v>
      </c>
      <c r="E9" s="406">
        <f>IF(ISNUMBER(IF(J_V="SI",Datos!J9,Datos!J9+Datos!Z9)),IF(J_V="SI",Datos!J9,Datos!J9+Datos!Z9)," - ")</f>
        <v>2011</v>
      </c>
      <c r="F9" s="407">
        <f>IF(ISNUMBER(E9/B9),E9/B9," - ")</f>
        <v>402.2</v>
      </c>
      <c r="G9" s="406">
        <f>IF(ISNUMBER(IF(J_V="SI",Datos!K9,Datos!K9+Datos!AA9)),IF(J_V="SI",Datos!K9,Datos!K9+Datos!AA9)," - ")</f>
        <v>2187</v>
      </c>
      <c r="H9" s="407">
        <f>IF(ISNUMBER(G9/B9),G9/B9," - ")</f>
        <v>437.4</v>
      </c>
      <c r="I9" s="406">
        <f>IF(ISNUMBER(IF(J_V="SI",Datos!L9,Datos!L9+Datos!AB9)),IF(J_V="SI",Datos!L9,Datos!L9+Datos!AB9)," - ")</f>
        <v>5403</v>
      </c>
      <c r="J9" s="407">
        <f>IF(ISNUMBER(I9/B9),I9/B9," - ")</f>
        <v>1080.5999999999999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51</v>
      </c>
      <c r="D10" s="407">
        <f>IF(ISNUMBER(C10/Datos!BH10),C10/Datos!BH10," - ")</f>
        <v>51</v>
      </c>
      <c r="E10" s="406">
        <f>IF(ISNUMBER(Datos!J10),Datos!J10," - ")</f>
        <v>39</v>
      </c>
      <c r="F10" s="407">
        <f>IF(ISNUMBER(E10/B10),E10/B10," - ")</f>
        <v>39</v>
      </c>
      <c r="G10" s="406">
        <f>IF(ISNUMBER(Datos!K10),Datos!K10," - ")</f>
        <v>23</v>
      </c>
      <c r="H10" s="407">
        <f>IF(ISNUMBER(G10/B10),G10/B10," - ")</f>
        <v>23</v>
      </c>
      <c r="I10" s="406">
        <f>IF(ISNUMBER(Datos!L10),Datos!L10," - ")</f>
        <v>67</v>
      </c>
      <c r="J10" s="407">
        <f>IF(ISNUMBER(I10/B10),I10/B10," - ")</f>
        <v>67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2</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2</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5630</v>
      </c>
      <c r="D13" s="853" t="str">
        <f>IF(ISNUMBER(C13/Datos!BI13),C13/Datos!BI13," - ")</f>
        <v xml:space="preserve"> - </v>
      </c>
      <c r="E13" s="852">
        <f>SUBTOTAL(9,E8:E12)</f>
        <v>2050</v>
      </c>
      <c r="F13" s="853">
        <f>IF(ISNUMBER(E13/B13),E13/B13," - ")</f>
        <v>341.66666666666669</v>
      </c>
      <c r="G13" s="852">
        <f>SUBTOTAL(9,G8:G12)</f>
        <v>2210</v>
      </c>
      <c r="H13" s="853">
        <f>IF(ISNUMBER(G13/B13),G13/B13," - ")</f>
        <v>368.33333333333331</v>
      </c>
      <c r="I13" s="852">
        <f>SUBTOTAL(9,I8:I12)</f>
        <v>5472</v>
      </c>
      <c r="J13" s="853">
        <f>IF(ISNUMBER(I13/B13),I13/B13," - ")</f>
        <v>912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2324</v>
      </c>
      <c r="D15" s="407">
        <f>IF(ISNUMBER(C15/Datos!BH15),C15/Datos!BH15," - ")</f>
        <v>581</v>
      </c>
      <c r="E15" s="406">
        <f>IF(ISNUMBER(IF(D_I="SI",Datos!J15,Datos!J15+Datos!AD15)),IF(D_I="SI",Datos!J15,Datos!J15+Datos!AD15)," - ")</f>
        <v>2203</v>
      </c>
      <c r="F15" s="407">
        <f>IF(ISNUMBER(E15/B15),E15/B15," - ")</f>
        <v>550.75</v>
      </c>
      <c r="G15" s="406">
        <f>IF(ISNUMBER(IF(D_I="SI",Datos!K15,Datos!K15+Datos!AE15)),IF(D_I="SI",Datos!K15,Datos!K15+Datos!AE15)," - ")</f>
        <v>1845</v>
      </c>
      <c r="H15" s="407">
        <f>IF(ISNUMBER(G15/B15),G15/B15," - ")</f>
        <v>461.25</v>
      </c>
      <c r="I15" s="406">
        <f>IF(ISNUMBER(IF(D_I="SI",Datos!L15,Datos!L15+Datos!AF15)),IF(D_I="SI",Datos!L15,Datos!L15+Datos!AF15)," - ")</f>
        <v>2706</v>
      </c>
      <c r="J15" s="407">
        <f>IF(ISNUMBER(I15/B15),I15/B15," - ")</f>
        <v>676.5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2</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2</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192</v>
      </c>
      <c r="D17" s="407">
        <f>IF(ISNUMBER(C17/Datos!BH17),C17/Datos!BH17," - ")</f>
        <v>192</v>
      </c>
      <c r="E17" s="406">
        <f>IF(ISNUMBER(IF(D_I="SI",Datos!J17,Datos!J17+Datos!AD17)),IF(D_I="SI",Datos!J17,Datos!J17+Datos!AD17)," - ")</f>
        <v>478</v>
      </c>
      <c r="F17" s="407">
        <f>IF(ISNUMBER(E17/B17),E17/B17," - ")</f>
        <v>478</v>
      </c>
      <c r="G17" s="406">
        <f>IF(ISNUMBER(IF(D_I="SI",Datos!K17,Datos!K17+Datos!AE17)),IF(D_I="SI",Datos!K17,Datos!K17+Datos!AE17)," - ")</f>
        <v>454</v>
      </c>
      <c r="H17" s="407">
        <f>IF(ISNUMBER(G17/B17),G17/B17," - ")</f>
        <v>454</v>
      </c>
      <c r="I17" s="406">
        <f>IF(ISNUMBER(IF(D_I="SI",Datos!L17,Datos!L17+Datos!AF17)),IF(D_I="SI",Datos!L17,Datos!L17+Datos!AF17)," - ")</f>
        <v>217</v>
      </c>
      <c r="J17" s="407">
        <f>IF(ISNUMBER(I17/B17),I17/B17," - ")</f>
        <v>217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2518</v>
      </c>
      <c r="D18" s="853" t="str">
        <f>IF(ISNUMBER(C18/Datos!BI18),C18/Datos!BI18," - ")</f>
        <v xml:space="preserve"> - </v>
      </c>
      <c r="E18" s="852">
        <f>SUBTOTAL(9,E14:E17)</f>
        <v>2681</v>
      </c>
      <c r="F18" s="853">
        <f>IF(ISNUMBER(E18/B18),E18/B18," - ")</f>
        <v>536.20000000000005</v>
      </c>
      <c r="G18" s="852">
        <f>SUBTOTAL(9,G14:G17)</f>
        <v>2299</v>
      </c>
      <c r="H18" s="853">
        <f>IF(ISNUMBER(G18/B18),G18/B18," - ")</f>
        <v>459.8</v>
      </c>
      <c r="I18" s="852">
        <f>SUBTOTAL(9,I14:I17)</f>
        <v>2925</v>
      </c>
      <c r="J18" s="853">
        <f>IF(ISNUMBER(I18/B18),I18/B18," - ")</f>
        <v>585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8148</v>
      </c>
      <c r="D19" s="798" t="str">
        <f>IF(ISNUMBER(C19/Datos!BI19),C19/Datos!BI19," - ")</f>
        <v xml:space="preserve"> - </v>
      </c>
      <c r="E19" s="797">
        <f>SUBTOTAL(9,E9:E18)</f>
        <v>4731</v>
      </c>
      <c r="F19" s="798">
        <f>IF(ISNUMBER(E19/B19),E19/B19," - ")</f>
        <v>473.1</v>
      </c>
      <c r="G19" s="797">
        <f>SUBTOTAL(9,G9:G18)</f>
        <v>4509</v>
      </c>
      <c r="H19" s="798">
        <f>IF(ISNUMBER(G19/B19),G19/B19," - ")</f>
        <v>450.9</v>
      </c>
      <c r="I19" s="797">
        <f>SUBTOTAL(9,I9:I18)</f>
        <v>8397</v>
      </c>
      <c r="J19" s="798">
        <f>IF(ISNUMBER(I19/B19),I19/B19," - ")</f>
        <v>839.7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GQWmtYNGucD71NE9TdKRJEzureQ0j/wZHba1vVftlv9V70XBjUswAx910YEMLrwxe6qweQNJYqCnfJMc3g/iQ==" saltValue="Nz5B9+zNMqBj1gIhyr6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BENIDORM</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51</v>
      </c>
      <c r="G10" s="687">
        <f>IF(ISNUMBER(Datos!I10),Datos!I10," - ")</f>
        <v>51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67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8.7391304347826075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51</v>
      </c>
      <c r="G13" s="941">
        <f t="shared" si="0"/>
        <v>51</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0</v>
      </c>
      <c r="AE13" s="942">
        <f t="shared" si="1"/>
        <v>0</v>
      </c>
      <c r="AF13" s="942">
        <f t="shared" si="1"/>
        <v>67</v>
      </c>
      <c r="AG13" s="942">
        <f t="shared" si="1"/>
        <v>0</v>
      </c>
      <c r="AH13" s="942">
        <f t="shared" si="1"/>
        <v>30</v>
      </c>
      <c r="AI13" s="942">
        <f t="shared" si="1"/>
        <v>0</v>
      </c>
      <c r="AJ13" s="942">
        <f t="shared" si="1"/>
        <v>0</v>
      </c>
      <c r="AK13" s="942">
        <f t="shared" si="1"/>
        <v>0</v>
      </c>
      <c r="AL13" s="942">
        <f t="shared" si="1"/>
        <v>5</v>
      </c>
      <c r="AM13" s="942">
        <f t="shared" si="1"/>
        <v>12</v>
      </c>
      <c r="AN13" s="942">
        <f t="shared" si="1"/>
        <v>0</v>
      </c>
      <c r="AO13" s="942">
        <f t="shared" si="1"/>
        <v>0</v>
      </c>
      <c r="AP13" s="947">
        <f>IF(ISNUMBER(((Datos!L13/Datos!K13)*11)/factor_trimestre),((Datos!L13/Datos!K13)*11)/factor_trimestre," - ")</f>
        <v>7.6064792758456408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-0.45098039215686275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3.816876903001305</v>
      </c>
      <c r="AQ18" s="947">
        <f>IF(ISNUMBER(((Datos!M18/Datos!L18)*11)/factor_trimestre),((Datos!M18/Datos!L18)*11)/factor_trimestre," - ")</f>
        <v>0.38974358974358975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-4.3624161073825503E-2</v>
      </c>
      <c r="AW18" s="949">
        <f>IF(ISNUMBER((Datos!Q18-Datos!R18)/(Datos!S18-Datos!Q18+Datos!R18)),(Datos!Q18-Datos!R18)/(Datos!S18-Datos!Q18+Datos!R18)," - ")</f>
        <v>-7.5448613376835241E-2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51</v>
      </c>
      <c r="G19" s="954">
        <f t="shared" si="4"/>
        <v>51</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0</v>
      </c>
      <c r="AE19" s="960">
        <f t="shared" si="5"/>
        <v>0</v>
      </c>
      <c r="AF19" s="961">
        <f t="shared" si="5"/>
        <v>67</v>
      </c>
      <c r="AG19" s="961">
        <f t="shared" si="5"/>
        <v>0</v>
      </c>
      <c r="AH19" s="961">
        <f t="shared" si="5"/>
        <v>30</v>
      </c>
      <c r="AI19" s="961">
        <f t="shared" si="5"/>
        <v>0</v>
      </c>
      <c r="AJ19" s="962">
        <f t="shared" si="5"/>
        <v>0</v>
      </c>
      <c r="AK19" s="962">
        <f t="shared" si="5"/>
        <v>0</v>
      </c>
      <c r="AL19" s="954">
        <f t="shared" si="5"/>
        <v>5</v>
      </c>
      <c r="AM19" s="954">
        <f t="shared" si="5"/>
        <v>12</v>
      </c>
      <c r="AN19" s="954">
        <f t="shared" si="5"/>
        <v>0</v>
      </c>
      <c r="AO19" s="954">
        <f t="shared" si="5"/>
        <v>0</v>
      </c>
      <c r="AP19" s="954">
        <f>IF(ISNUMBER(((Datos!L19/Datos!K19)*11)/factor_trimestre),((Datos!L19/Datos!K19)*11)/factor_trimestre," - ")</f>
        <v>5.6255115961800826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-0.45098039215686275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-4.2401779095626389E-2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2.7568097504180442</v>
      </c>
      <c r="F21" s="739">
        <f>IF(ISNUMBER(STDEV(F8:F18)),STDEV(F8:F18),"-")</f>
        <v>29.444863728670914</v>
      </c>
      <c r="G21" s="740">
        <f>IF(ISNUMBER(STDEV(G8:G18)),STDEV(G8:G18),"-")</f>
        <v>29.444863728670914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2.8867513459481291</v>
      </c>
      <c r="AM21" s="739"/>
      <c r="AN21" s="739">
        <f>IF(ISNUMBER(STDEV(AN8:AN18)),STDEV(AN8:AN18),"-")</f>
        <v>0</v>
      </c>
      <c r="AO21" s="745">
        <f>IF(ISNUMBER(STDEV(AO8:AO18)),STDEV(AO8:AO18),"-")</f>
        <v>0</v>
      </c>
      <c r="AP21" s="782">
        <f>IF(ISNUMBER(STDEV(AP8:AP18)),STDEV(AP8:AP18),"-")</f>
        <v>2.5778726572907034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GxkivlaalMCOCPwn6F37TaZsH5WI+hJj+UjetI6L6yeGlnMfrSyqfCt3021q+cY8jgN9NIRmbWyUdMuNpthkA==" saltValue="7IvkUzse7BgrS4eaf1D/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BENIDORM</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SYeVk9lrQ93XofEehuUvwb3hgIettpiFP5KvZqDAnl3h74vVnVDUvs1fK6J+MbdLOJQO4S9kXnRFDEGgNOzmQ==" saltValue="wA74x6kjIwCT40pWF7P5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BENIDORM</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396</v>
      </c>
      <c r="E9" s="407">
        <f t="shared" ref="E9:E13" si="0">IF(ISNUMBER(D9/B9),D9/B9," - ")</f>
        <v>79.2</v>
      </c>
      <c r="F9" s="406">
        <f>IF(ISNUMBER(Datos!N9),Datos!N9," - ")</f>
        <v>835</v>
      </c>
      <c r="G9" s="407">
        <f t="shared" ref="G9:G13" si="1">IF(ISNUMBER(F9/B9),F9/B9," - ")</f>
        <v>167</v>
      </c>
      <c r="H9" s="406">
        <f>IF(ISNUMBER(Datos!O9),Datos!O9," - ")</f>
        <v>1303</v>
      </c>
      <c r="I9" s="407">
        <f>IF(ISNUMBER(H9/B9),H9/B9," - ")</f>
        <v>260.60000000000002</v>
      </c>
    </row>
    <row r="10" spans="1:9">
      <c r="A10" s="405" t="str">
        <f>Datos!A10</f>
        <v>Jdos. Violencia contra la mujer</v>
      </c>
      <c r="B10" s="430">
        <f>Datos!AO10</f>
        <v>1</v>
      </c>
      <c r="C10" s="413">
        <f>Datos!AQ10</f>
        <v>1</v>
      </c>
      <c r="D10" s="406">
        <f>IF(ISNUMBER(Datos!M10),Datos!M10," - ")</f>
        <v>5</v>
      </c>
      <c r="E10" s="407">
        <f>IF(ISNUMBER(D10/B10),D10/B10," - ")</f>
        <v>5</v>
      </c>
      <c r="F10" s="406">
        <f>IF(ISNUMBER(Datos!N10),Datos!N10," - ")</f>
        <v>12</v>
      </c>
      <c r="G10" s="407">
        <f>IF(ISNUMBER(F10/B10),F10/B10," - ")</f>
        <v>12</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6</v>
      </c>
      <c r="C13" s="854">
        <f>Datos!AR13</f>
        <v>6</v>
      </c>
      <c r="D13" s="852">
        <f>SUBTOTAL(9,D9:D12)</f>
        <v>401</v>
      </c>
      <c r="E13" s="853">
        <f t="shared" si="0"/>
        <v>66.833333333333329</v>
      </c>
      <c r="F13" s="852">
        <f>SUBTOTAL(9,F9:F12)</f>
        <v>847</v>
      </c>
      <c r="G13" s="853">
        <f t="shared" si="1"/>
        <v>141.16666666666666</v>
      </c>
      <c r="H13" s="852">
        <f>SUBTOTAL(9,H9:H12)</f>
        <v>1307</v>
      </c>
      <c r="I13" s="853">
        <f>IF(ISNUMBER(H13/B13),H13/B13," - ")</f>
        <v>217.83333333333334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318</v>
      </c>
      <c r="E15" s="407">
        <f t="shared" ref="E15:E18" si="3">IF(ISNUMBER(D15/B15),D15/B15," - ")</f>
        <v>79.5</v>
      </c>
      <c r="F15" s="406">
        <f>IF(ISNUMBER(Datos!N15),Datos!N15," - ")</f>
        <v>1023</v>
      </c>
      <c r="G15" s="407">
        <f t="shared" ref="G15:G18" si="4">IF(ISNUMBER(F15/B15),F15/B15," - ")</f>
        <v>255.75</v>
      </c>
      <c r="H15" s="406">
        <f>IF(ISNUMBER(Datos!O15),Datos!O15," - ")</f>
        <v>40</v>
      </c>
      <c r="I15" s="407">
        <f t="shared" ref="I15:I17" si="5">IF(ISNUMBER(H15/B15),H15/B15," - ")</f>
        <v>10</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62</v>
      </c>
      <c r="E17" s="407">
        <f>IF(ISNUMBER(D17/B17),D17/B17," - ")</f>
        <v>62</v>
      </c>
      <c r="F17" s="406">
        <f>IF(ISNUMBER(Datos!N17),Datos!N17," - ")</f>
        <v>190</v>
      </c>
      <c r="G17" s="407">
        <f>IF(ISNUMBER(F17/B17),F17/B17," - ")</f>
        <v>190</v>
      </c>
      <c r="H17" s="406">
        <f>IF(ISNUMBER(Datos!O17),Datos!O17," - ")</f>
        <v>4</v>
      </c>
      <c r="I17" s="407">
        <f t="shared" si="5"/>
        <v>4</v>
      </c>
    </row>
    <row r="18" spans="1:9" ht="14.25" thickTop="1" thickBot="1">
      <c r="A18" s="851" t="str">
        <f>Datos!A18</f>
        <v>TOTAL</v>
      </c>
      <c r="B18" s="852">
        <f>Datos!AO18</f>
        <v>5</v>
      </c>
      <c r="C18" s="854">
        <f>Datos!AR18</f>
        <v>5</v>
      </c>
      <c r="D18" s="852">
        <f>SUBTOTAL(9,D15:D17)</f>
        <v>380</v>
      </c>
      <c r="E18" s="853">
        <f t="shared" si="3"/>
        <v>76</v>
      </c>
      <c r="F18" s="852">
        <f>SUBTOTAL(9,F15:F17)</f>
        <v>1213</v>
      </c>
      <c r="G18" s="853">
        <f t="shared" si="4"/>
        <v>242.6</v>
      </c>
      <c r="H18" s="852">
        <f>SUBTOTAL(9,H15:H17)</f>
        <v>44</v>
      </c>
      <c r="I18" s="853">
        <f>IF(ISNUMBER(H18/B18),H18/B18," - ")</f>
        <v>8.8000000000000007</v>
      </c>
    </row>
    <row r="19" spans="1:9" ht="14.25" thickTop="1" thickBot="1">
      <c r="A19" s="796" t="str">
        <f>Datos!A19</f>
        <v>TOTAL JURISDICCIONES</v>
      </c>
      <c r="B19" s="797">
        <f>Datos!AP19</f>
        <v>10</v>
      </c>
      <c r="C19" s="797">
        <f>Datos!AR19</f>
        <v>10</v>
      </c>
      <c r="D19" s="797">
        <f>SUBTOTAL(9,D8:D18)</f>
        <v>781</v>
      </c>
      <c r="E19" s="798">
        <f>IF(ISNUMBER(D19/B19),D19/B19," - ")</f>
        <v>78.099999999999994</v>
      </c>
      <c r="F19" s="797">
        <f>SUBTOTAL(9,F8:F18)</f>
        <v>2060</v>
      </c>
      <c r="G19" s="798">
        <f>IF(ISNUMBER(F19/B19),F19/B19," - ")</f>
        <v>206</v>
      </c>
      <c r="H19" s="797">
        <f>SUBTOTAL(9,H8:H18)</f>
        <v>1351</v>
      </c>
      <c r="I19" s="798">
        <f>IF(ISNUMBER(H19/B19),H19/B19," - ")</f>
        <v>135.1</v>
      </c>
    </row>
    <row r="22" spans="1:9">
      <c r="A22" s="394" t="str">
        <f>Criterios!A4</f>
        <v>Fecha Informe: 07 mar. 2024</v>
      </c>
    </row>
    <row r="27" spans="1:9">
      <c r="A27" s="417"/>
    </row>
  </sheetData>
  <sheetProtection algorithmName="SHA-512" hashValue="zTLBlvmVO8cGiM+FOVAS2YZcCpCHPimaT+Kn5sU7MvDVF4/IirLzqsgLloANxLLqWrECjXfzCg2GTpm4yHK8lQ==" saltValue="mryoQJCM/Q4md+BlOSRa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BENIDORM</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637</v>
      </c>
      <c r="C9" s="437">
        <f>IF(ISNUMBER(Datos!Q9),Datos!Q9," - ")</f>
        <v>916</v>
      </c>
      <c r="D9" s="411">
        <f>IF(ISNUMBER(Datos!R9),Datos!R9," - ")</f>
        <v>6095</v>
      </c>
    </row>
    <row r="10" spans="1:4">
      <c r="A10" s="405" t="str">
        <f>Datos!A10</f>
        <v>Jdos. Violencia contra la mujer</v>
      </c>
      <c r="B10" s="436">
        <f>IF(ISNUMBER(Datos!P10),Datos!P10," - ")</f>
        <v>8</v>
      </c>
      <c r="C10" s="437">
        <f>IF(ISNUMBER(Datos!Q10),Datos!Q10," - ")</f>
        <v>2</v>
      </c>
      <c r="D10" s="411">
        <f>IF(ISNUMBER(Datos!R10),Datos!R10," - ")</f>
        <v>49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0</v>
      </c>
      <c r="D12" s="411">
        <f>IF(ISNUMBER(Datos!R12),Datos!R12," - ")</f>
        <v>30</v>
      </c>
    </row>
    <row r="13" spans="1:4" ht="14.25" thickTop="1" thickBot="1">
      <c r="A13" s="851" t="str">
        <f>Datos!A13</f>
        <v>TOTAL</v>
      </c>
      <c r="B13" s="852">
        <f>SUBTOTAL(9,B9:B12)</f>
        <v>645</v>
      </c>
      <c r="C13" s="856">
        <f>SUBTOTAL(9,C9:C12)</f>
        <v>918</v>
      </c>
      <c r="D13" s="854">
        <f>SUBTOTAL(9,D9:D12)</f>
        <v>6174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79</v>
      </c>
      <c r="C15" s="437">
        <f>IF(ISNUMBER(Datos!Q15),Datos!Q15," - ")</f>
        <v>96</v>
      </c>
      <c r="D15" s="411">
        <f>IF(ISNUMBER(Datos!R15),Datos!R15," - ")</f>
        <v>275</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8</v>
      </c>
      <c r="C17" s="437">
        <f>IF(ISNUMBER(Datos!Q17),Datos!Q17," - ")</f>
        <v>4</v>
      </c>
      <c r="D17" s="411">
        <f>IF(ISNUMBER(Datos!R17),Datos!R17," - ")</f>
        <v>10</v>
      </c>
    </row>
    <row r="18" spans="1:4" ht="14.25" thickTop="1" thickBot="1">
      <c r="A18" s="851" t="str">
        <f>Datos!A18</f>
        <v>TOTAL</v>
      </c>
      <c r="B18" s="852">
        <f>SUBTOTAL(9,B15:B17)</f>
        <v>87</v>
      </c>
      <c r="C18" s="856">
        <f>SUBTOTAL(9,C15:C17)</f>
        <v>100</v>
      </c>
      <c r="D18" s="854">
        <f>SUBTOTAL(9,D15:D17)</f>
        <v>285</v>
      </c>
    </row>
    <row r="19" spans="1:4" ht="16.5" customHeight="1" thickTop="1" thickBot="1">
      <c r="A19" s="796" t="str">
        <f>Datos!A19</f>
        <v>TOTAL JURISDICCIONES</v>
      </c>
      <c r="B19" s="801">
        <f>SUBTOTAL(9,B8:B18)</f>
        <v>732</v>
      </c>
      <c r="C19" s="802">
        <f>SUBTOTAL(9,C8:C18)</f>
        <v>1018</v>
      </c>
      <c r="D19" s="803">
        <f>SUBTOTAL(9,D8:D18)</f>
        <v>6459</v>
      </c>
    </row>
    <row r="20" spans="1:4" ht="7.5" customHeight="1"/>
    <row r="21" spans="1:4" ht="6" customHeight="1"/>
    <row r="22" spans="1:4">
      <c r="A22" s="394" t="str">
        <f>Criterios!A4</f>
        <v>Fecha Informe: 07 mar. 2024</v>
      </c>
    </row>
    <row r="27" spans="1:4">
      <c r="A27" s="417"/>
    </row>
  </sheetData>
  <sheetProtection algorithmName="SHA-512" hashValue="ULjTG3EoEhqmaz8yY9UVkw42NT6wu+cOQAo1/piQUbAznMvbwdhzn3kcyWo0AunhQXylWIKtIZuGILlxVrIK6w==" saltValue="BeEEX6dYRuYNm8IJwPi1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BENIDORM</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0.37567834237789838</v>
      </c>
      <c r="C9" s="459">
        <f>IF(ISNUMBER(
   IF(J_V="SI",(Datos!J9-Datos!T9)/Datos!T9,(Datos!J9+Datos!Z9-(Datos!T9+Datos!AH9))/(Datos!T9+Datos!AH9))
     ),IF(J_V="SI",(Datos!J9-Datos!T9)/Datos!T9,(Datos!J9+Datos!Z9-(Datos!T9+Datos!AH9))/(Datos!T9+Datos!AH9))," - ")</f>
        <v>6.0030015007503752E-3</v>
      </c>
      <c r="D9" s="459">
        <f>IF(ISNUMBER(
   IF(J_V="SI",(Datos!K9-Datos!U9)/Datos!U9,(Datos!K9+Datos!AA9-(Datos!U9+Datos!AI9))/(Datos!U9+Datos!AI9))
     ),IF(J_V="SI",(Datos!K9-Datos!U9)/Datos!U9,(Datos!K9+Datos!AA9-(Datos!U9+Datos!AI9))/(Datos!U9+Datos!AI9))," - ")</f>
        <v>0.31036548831635707</v>
      </c>
      <c r="E9" s="459">
        <f>IF(ISNUMBER(
   IF(J_V="SI",(Datos!L9-Datos!V9)/Datos!V9,(Datos!L9+Datos!AB9-(Datos!V9+Datos!AJ9))/(Datos!V9+Datos!AJ9))
     ),IF(J_V="SI",(Datos!L9-Datos!V9)/Datos!V9,(Datos!L9+Datos!AB9-(Datos!V9+Datos!AJ9))/(Datos!V9+Datos!AJ9))," - ")</f>
        <v>0.23215507411630559</v>
      </c>
      <c r="F9" s="459">
        <f>IF(ISNUMBER((Datos!M9-Datos!W9)/Datos!W9),(Datos!M9-Datos!W9)/Datos!W9," - ")</f>
        <v>7.6086956521739135E-2</v>
      </c>
      <c r="G9" s="460">
        <f>IF(ISNUMBER((Datos!N9-Datos!X9)/Datos!X9),(Datos!N9-Datos!X9)/Datos!X9," - ")</f>
        <v>0.14227086183310533</v>
      </c>
      <c r="H9" s="458">
        <f>IF(ISNUMBER(((NºAsuntos!G9/NºAsuntos!E9)-Datos!BD9)/Datos!BD9),((NºAsuntos!G9/NºAsuntos!E9)-Datos!BD9)/Datos!BD9," - ")</f>
        <v>0.30254630091715445</v>
      </c>
      <c r="I9" s="459">
        <f>IF(ISNUMBER(((NºAsuntos!I9/NºAsuntos!G9)-Datos!BE9)/Datos!BE9),((NºAsuntos!I9/NºAsuntos!G9)-Datos!BE9)/Datos!BE9," - ")</f>
        <v>-5.9685953955137615E-2</v>
      </c>
      <c r="J9" s="464">
        <f>IF(ISNUMBER((('Resol  Asuntos'!D9/NºAsuntos!G9)-Datos!BF9)/Datos!BF9),(('Resol  Asuntos'!D9/NºAsuntos!G9)-Datos!BF9)/Datos!BF9," - ")</f>
        <v>-0.58658582583191188</v>
      </c>
      <c r="K9" s="465">
        <f>IF(ISNUMBER((((NºAsuntos!C9+NºAsuntos!E9)/NºAsuntos!G9)-Datos!BG9)/Datos!BG9),(((NºAsuntos!C9+NºAsuntos!E9)/NºAsuntos!G9)-Datos!BG9)/Datos!BG9," - ")</f>
        <v>-4.3325491461605942E-2</v>
      </c>
    </row>
    <row r="10" spans="1:11">
      <c r="A10" s="405" t="str">
        <f>Datos!A10</f>
        <v>Jdos. Violencia contra la mujer</v>
      </c>
      <c r="B10" s="458">
        <f>IF(ISNUMBER((Datos!I10-Datos!S10)/Datos!S10),(Datos!I10-Datos!S10)/Datos!S10," - ")</f>
        <v>0.18604651162790697</v>
      </c>
      <c r="C10" s="459">
        <f>IF(ISNUMBER((Datos!J10-Datos!T10)/Datos!T10),(Datos!J10-Datos!T10)/Datos!T10," - ")</f>
        <v>1.7857142857142858</v>
      </c>
      <c r="D10" s="459">
        <f>IF(ISNUMBER((Datos!K10-Datos!U10)/Datos!U10),(Datos!K10-Datos!U10)/Datos!U10," - ")</f>
        <v>0.6428571428571429</v>
      </c>
      <c r="E10" s="459">
        <f>IF(ISNUMBER((Datos!L10-Datos!V10)/Datos!V10),(Datos!L10-Datos!V10)/Datos!V10," - ")</f>
        <v>0.55813953488372092</v>
      </c>
      <c r="F10" s="459">
        <f>IF(ISNUMBER((Datos!M10-Datos!W10)/Datos!W10),(Datos!M10-Datos!W10)/Datos!W10," - ")</f>
        <v>-0.16666666666666666</v>
      </c>
      <c r="G10" s="460">
        <f>IF(ISNUMBER((Datos!N10-Datos!X10)/Datos!X10),(Datos!N10-Datos!X10)/Datos!X10," - ")</f>
        <v>2</v>
      </c>
      <c r="H10" s="458">
        <f>IF(ISNUMBER(((NºAsuntos!G10/NºAsuntos!E10)-Datos!BD10)/Datos!BD10),((NºAsuntos!G10/NºAsuntos!E10)-Datos!BD10)/Datos!BD10," - ")</f>
        <v>-0.41025641025641024</v>
      </c>
      <c r="I10" s="459">
        <f>IF(ISNUMBER(((NºAsuntos!I10/NºAsuntos!G10)-Datos!BE10)/Datos!BE10),((NºAsuntos!I10/NºAsuntos!G10)-Datos!BE10)/Datos!BE10," - ")</f>
        <v>-5.1567239635995993E-2</v>
      </c>
      <c r="J10" s="464">
        <f>IF(ISNUMBER((('Resol  Asuntos'!D10/NºAsuntos!G10)-Datos!BF10)/Datos!BF10),(('Resol  Asuntos'!D10/NºAsuntos!G10)-Datos!BF10)/Datos!BF10," - ")</f>
        <v>-0.49275362318840576</v>
      </c>
      <c r="K10" s="465">
        <f>IF(ISNUMBER((((NºAsuntos!C10+NºAsuntos!E10)/NºAsuntos!G10)-Datos!BG10)/Datos!BG10),(((NºAsuntos!C10+NºAsuntos!E10)/NºAsuntos!G10)-Datos!BG10)/Datos!BG10," - ")</f>
        <v>-3.8901601830663539E-2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0.37350573310563551</v>
      </c>
      <c r="C13" s="858">
        <f>IF(ISNUMBER(
   IF(J_V="SI",(Datos!J13-Datos!T13)/Datos!T13,(Datos!J13+Datos!Z13-(Datos!T13+Datos!AH13))/(Datos!T13+Datos!AH13))
     ),IF(J_V="SI",(Datos!J13-Datos!T13)/Datos!T13,(Datos!J13+Datos!Z13-(Datos!T13+Datos!AH13))/(Datos!T13+Datos!AH13))," - ")</f>
        <v>1.838052657724789E-2</v>
      </c>
      <c r="D13" s="858">
        <f>IF(ISNUMBER(
   IF(J_V="SI",(Datos!K13-Datos!U13)/Datos!U13,(Datos!K13+Datos!AA13-(Datos!U13+Datos!AI13))/(Datos!U13+Datos!AI13))
     ),IF(J_V="SI",(Datos!K13-Datos!U13)/Datos!U13,(Datos!K13+Datos!AA13-(Datos!U13+Datos!AI13))/(Datos!U13+Datos!AI13))," - ")</f>
        <v>0.31313131313131315</v>
      </c>
      <c r="E13" s="858">
        <f>IF(ISNUMBER(
   IF(J_V="SI",(Datos!L13-Datos!V13)/Datos!V13,(Datos!L13+Datos!AB13-(Datos!V13+Datos!AJ13))/(Datos!V13+Datos!AJ13))
     ),IF(J_V="SI",(Datos!L13-Datos!V13)/Datos!V13,(Datos!L13+Datos!AB13-(Datos!V13+Datos!AJ13))/(Datos!V13+Datos!AJ13))," - ")</f>
        <v>0.23521444695259594</v>
      </c>
      <c r="F13" s="859">
        <f>IF(ISNUMBER((Datos!M13-Datos!W13)/Datos!W13),(Datos!M13-Datos!W13)/Datos!W13," - ")</f>
        <v>7.2192513368983954E-2</v>
      </c>
      <c r="G13" s="860">
        <f>IF(ISNUMBER((Datos!N13-Datos!X13)/Datos!X13),(Datos!N13-Datos!X13)/Datos!X13," - ")</f>
        <v>0.15238095238095239</v>
      </c>
      <c r="H13" s="860">
        <f>IF(ISNUMBER(((NºAsuntos!G13/NºAsuntos!E13)-Datos!BD13)/Datos!BD13),((NºAsuntos!G13/NºAsuntos!E13)-Datos!BD13)/Datos!BD13," - ")</f>
        <v>0.28943089430894309</v>
      </c>
      <c r="I13" s="860">
        <f>IF(ISNUMBER(((NºAsuntos!I13/NºAsuntos!G13)-Datos!BE13)/Datos!BE13),((NºAsuntos!I13/NºAsuntos!G13)-Datos!BE13)/Datos!BE13," - ")</f>
        <v>-5.9336690397638378E-2</v>
      </c>
      <c r="J13" s="860">
        <f>IF(ISNUMBER((('Resol  Asuntos'!D13/NºAsuntos!G13)-Datos!BF13)/Datos!BF13),(('Resol  Asuntos'!D13/NºAsuntos!G13)-Datos!BF13)/Datos!BF13," - ")</f>
        <v>-0.5856486796785304</v>
      </c>
      <c r="K13" s="860">
        <f>IF(ISNUMBER((((NºAsuntos!C13+NºAsuntos!E13)/NºAsuntos!G13)-Datos!BG13)/Datos!BG13),(((NºAsuntos!C13+NºAsuntos!E13)/NºAsuntos!G13)-Datos!BG13)/Datos!BG13," - ")</f>
        <v>-4.3093032621828425E-2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7.7422345850718596E-2</v>
      </c>
      <c r="C15" s="459">
        <f>IF(ISNUMBER(
   IF(D_I="SI",(Datos!J15-Datos!T15)/Datos!T15,(Datos!J15+Datos!AD15-(Datos!T15+Datos!AL15))/(Datos!T15+Datos!AL15))
     ),IF(D_I="SI",(Datos!J15-Datos!T15)/Datos!T15,(Datos!J15+Datos!AD15-(Datos!T15+Datos!AL15))/(Datos!T15+Datos!AL15))," - ")</f>
        <v>0.17870518994114501</v>
      </c>
      <c r="D15" s="459">
        <f>IF(ISNUMBER(
   IF(D_I="SI",(Datos!K15-Datos!U15)/Datos!U15,(Datos!K15+Datos!AE15-(Datos!U15+Datos!AM15))/(Datos!U15+Datos!AM15))
     ),IF(D_I="SI",(Datos!K15-Datos!U15)/Datos!U15,(Datos!K15+Datos!AE15-(Datos!U15+Datos!AM15))/(Datos!U15+Datos!AM15))," - ")</f>
        <v>-7.4259909683893621E-2</v>
      </c>
      <c r="E15" s="459">
        <f>IF(ISNUMBER(
   IF(D_I="SI",(Datos!L15-Datos!V15)/Datos!V15,(Datos!L15+Datos!AF15-(Datos!V15+Datos!AN15))/(Datos!V15+Datos!AN15))
     ),IF(D_I="SI",(Datos!L15-Datos!V15)/Datos!V15,(Datos!L15+Datos!AF15-(Datos!V15+Datos!AN15))/(Datos!V15+Datos!AN15))," - ")</f>
        <v>0.33695652173913043</v>
      </c>
      <c r="F15" s="459">
        <f>IF(ISNUMBER((Datos!M15-Datos!W15)/Datos!W15),(Datos!M15-Datos!W15)/Datos!W15," - ")</f>
        <v>6.354515050167224E-2</v>
      </c>
      <c r="G15" s="460">
        <f>IF(ISNUMBER((Datos!N15-Datos!X15)/Datos!X15),(Datos!N15-Datos!X15)/Datos!X15," - ")</f>
        <v>-0.17233009708737865</v>
      </c>
      <c r="H15" s="458">
        <f>IF(ISNUMBER(((NºAsuntos!G15/NºAsuntos!E15)-Datos!BD15)/Datos!BD15),((NºAsuntos!G15/NºAsuntos!E15)-Datos!BD15)/Datos!BD15," - ")</f>
        <v>-0.214612696867543</v>
      </c>
      <c r="I15" s="459">
        <f>IF(ISNUMBER(((NºAsuntos!I15/NºAsuntos!G15)-Datos!BE15)/Datos!BE15),((NºAsuntos!I15/NºAsuntos!G15)-Datos!BE15)/Datos!BE15," - ")</f>
        <v>0.44420289855072459</v>
      </c>
      <c r="J15" s="464">
        <f>IF(ISNUMBER((('Resol  Asuntos'!D15/NºAsuntos!G15)-Datos!BF15)/Datos!BF15),(('Resol  Asuntos'!D15/NºAsuntos!G15)-Datos!BF15)/Datos!BF15," - ")</f>
        <v>0.14885934143622367</v>
      </c>
      <c r="K15" s="465">
        <f>IF(ISNUMBER((((NºAsuntos!C15+NºAsuntos!E15)/NºAsuntos!G15)-Datos!BG15)/Datos!BG15),(((NºAsuntos!C15+NºAsuntos!E15)/NºAsuntos!G15)-Datos!BG15)/Datos!BG15," - ")</f>
        <v>0.21464020452425078</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0.77777777777777779</v>
      </c>
      <c r="C17" s="459">
        <f>IF(ISNUMBER(
   IF(D_I="SI",(Datos!J17-Datos!T17)/Datos!T17,(Datos!J17+Datos!AD17-(Datos!T17+Datos!AL17))/(Datos!T17+Datos!AL17))
     ),IF(D_I="SI",(Datos!J17-Datos!T17)/Datos!T17,(Datos!J17+Datos!AD17-(Datos!T17+Datos!AL17))/(Datos!T17+Datos!AL17))," - ")</f>
        <v>0.97520661157024791</v>
      </c>
      <c r="D17" s="459">
        <f>IF(ISNUMBER(
   IF(D_I="SI",(Datos!K17-Datos!U17)/Datos!U17,(Datos!K17+Datos!AE17-(Datos!U17+Datos!AM17))/(Datos!U17+Datos!AM17))
     ),IF(D_I="SI",(Datos!K17-Datos!U17)/Datos!U17,(Datos!K17+Datos!AE17-(Datos!U17+Datos!AM17))/(Datos!U17+Datos!AM17))," - ")</f>
        <v>0.84552845528455289</v>
      </c>
      <c r="E17" s="459">
        <f>IF(ISNUMBER(
   IF(D_I="SI",(Datos!L17-Datos!V17)/Datos!V17,(Datos!L17+Datos!AF17-(Datos!V17+Datos!AN17))/(Datos!V17+Datos!AN17))
     ),IF(D_I="SI",(Datos!L17-Datos!V17)/Datos!V17,(Datos!L17+Datos!AF17-(Datos!V17+Datos!AN17))/(Datos!V17+Datos!AN17))," - ")</f>
        <v>1.0666666666666667</v>
      </c>
      <c r="F17" s="459">
        <f>IF(ISNUMBER((Datos!M17-Datos!W17)/Datos!W17),(Datos!M17-Datos!W17)/Datos!W17," - ")</f>
        <v>0.87878787878787878</v>
      </c>
      <c r="G17" s="460">
        <f>IF(ISNUMBER((Datos!N17-Datos!X17)/Datos!X17),(Datos!N17-Datos!X17)/Datos!X17," - ")</f>
        <v>0.55737704918032782</v>
      </c>
      <c r="H17" s="458">
        <f>IF(ISNUMBER(((NºAsuntos!G17/NºAsuntos!E17)-Datos!BD17)/Datos!BD17),((NºAsuntos!G17/NºAsuntos!E17)-Datos!BD17)/Datos!BD17," - ")</f>
        <v>-6.5652957784807939E-2</v>
      </c>
      <c r="I17" s="459">
        <f>IF(ISNUMBER(((NºAsuntos!I17/NºAsuntos!G17)-Datos!BE17)/Datos!BE17),((NºAsuntos!I17/NºAsuntos!G17)-Datos!BE17)/Datos!BE17," - ")</f>
        <v>0.11982378854625553</v>
      </c>
      <c r="J17" s="464">
        <f>IF(ISNUMBER((('Resol  Asuntos'!D17/NºAsuntos!G17)-Datos!BF17)/Datos!BF17),(('Resol  Asuntos'!D17/NºAsuntos!G17)-Datos!BF17)/Datos!BF17," - ")</f>
        <v>1.8021625951141356E-2</v>
      </c>
      <c r="K17" s="465">
        <f>IF(ISNUMBER((((NºAsuntos!C17+NºAsuntos!E17)/NºAsuntos!G17)-Datos!BG17)/Datos!BG17),(((NºAsuntos!C17+NºAsuntos!E17)/NºAsuntos!G17)-Datos!BG17)/Datos!BG17," - ")</f>
        <v>3.7256135934549919E-2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0.11071901191001324</v>
      </c>
      <c r="C18" s="858">
        <f>IF(ISNUMBER(
   IF(Criterios!B14="SI",(Datos!J18-Datos!T18)/Datos!T18,(Datos!J18+Datos!AD18-(Datos!T18+Datos!AL18))/(Datos!T18+Datos!AL18))
     ),IF(Criterios!B14="SI",(Datos!J18-Datos!T18)/Datos!T18,(Datos!J18+Datos!AD18-(Datos!T18+Datos!AL18))/(Datos!T18+Datos!AL18))," - ")</f>
        <v>0.2700142112742776</v>
      </c>
      <c r="D18" s="858">
        <f>IF(ISNUMBER(
   IF(Criterios!B14="SI",(Datos!K18-Datos!U18)/Datos!U18,(Datos!K18+Datos!AE18-(Datos!U18+Datos!AM18))/(Datos!U18+Datos!AM18))
     ),IF(Criterios!B14="SI",(Datos!K18-Datos!U18)/Datos!U18,(Datos!K18+Datos!AE18-(Datos!U18+Datos!AM18))/(Datos!U18+Datos!AM18))," - ")</f>
        <v>2.6797677534613668E-2</v>
      </c>
      <c r="E18" s="858">
        <f>IF(ISNUMBER(
   IF(Criterios!B14="SI",(Datos!L18-Datos!V18)/Datos!V18,(Datos!L18+Datos!AF18-(Datos!V18+Datos!AN18))/(Datos!V18+Datos!AN18))
     ),IF(Criterios!B14="SI",(Datos!L18-Datos!V18)/Datos!V18,(Datos!L18+Datos!AF18-(Datos!V18+Datos!AN18))/(Datos!V18+Datos!AN18))," - ")</f>
        <v>0.37259502580947912</v>
      </c>
      <c r="F18" s="859">
        <f>IF(ISNUMBER((Datos!M18-Datos!W18)/Datos!W18),(Datos!M18-Datos!W18)/Datos!W18," - ")</f>
        <v>0.14457831325301204</v>
      </c>
      <c r="G18" s="860">
        <f>IF(ISNUMBER((Datos!N18-Datos!X18)/Datos!X18),(Datos!N18-Datos!X18)/Datos!X18," - ")</f>
        <v>-0.10677466863033873</v>
      </c>
      <c r="H18" s="860">
        <f>IF(ISNUMBER(((NºAsuntos!G18/NºAsuntos!E18)-Datos!BD18)/Datos!BD18),((NºAsuntos!G18/NºAsuntos!E18)-Datos!BD18)/Datos!BD18," - ")</f>
        <v>-0.19150693872600924</v>
      </c>
      <c r="I18" s="860">
        <f>IF(ISNUMBER(((NºAsuntos!I18/NºAsuntos!G18)-Datos!BE18)/Datos!BE18),((NºAsuntos!I18/NºAsuntos!G18)-Datos!BE18)/Datos!BE18," - ")</f>
        <v>0.3367726240919634</v>
      </c>
      <c r="J18" s="860">
        <f>IF(ISNUMBER((('Resol  Asuntos'!D18/NºAsuntos!G18)-Datos!BF18)/Datos!BF18),(('Resol  Asuntos'!D18/NºAsuntos!G18)-Datos!BF18)/Datos!BF18," - ")</f>
        <v>0.11470676092800954</v>
      </c>
      <c r="K18" s="860">
        <f>IF(ISNUMBER((((NºAsuntos!C18+NºAsuntos!E18)/NºAsuntos!G18)-Datos!BG18)/Datos!BG18),(((NºAsuntos!C18+NºAsuntos!E18)/NºAsuntos!G18)-Datos!BG18)/Datos!BG18," - ")</f>
        <v>0.1565360711581158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0.27992459943449577</v>
      </c>
      <c r="C19" s="805">
        <f>IF(ISNUMBER(
   IF(J_V="SI",(Datos!J19-Datos!T19)/Datos!T19,(Datos!J19+Datos!Z19-(Datos!T19+Datos!AH19))/(Datos!T19+Datos!AH19))
     ),IF(J_V="SI",(Datos!J19-Datos!T19)/Datos!T19,(Datos!J19+Datos!Z19-(Datos!T19+Datos!AH19))/(Datos!T19+Datos!AH19))," - ")</f>
        <v>0.14718719689621726</v>
      </c>
      <c r="D19" s="805">
        <f>IF(ISNUMBER(
   IF(J_V="SI",(Datos!K19-Datos!U19)/Datos!U19,(Datos!K19+Datos!AA19-(Datos!U19+Datos!AI19))/(Datos!U19+Datos!AI19))
     ),IF(J_V="SI",(Datos!K19-Datos!U19)/Datos!U19,(Datos!K19+Datos!AA19-(Datos!U19+Datos!AI19))/(Datos!U19+Datos!AI19))," - ")</f>
        <v>0.14966853646098929</v>
      </c>
      <c r="E19" s="805">
        <f>IF(ISNUMBER(
   IF(J_V="SI",(Datos!L19-Datos!V19)/Datos!V19,(Datos!L19+Datos!AB19-(Datos!V19+Datos!AJ19))/(Datos!V19+Datos!AJ19))
     ),IF(J_V="SI",(Datos!L19-Datos!V19)/Datos!V19,(Datos!L19+Datos!AB19-(Datos!V19+Datos!AJ19))/(Datos!V19+Datos!AJ19))," - ")</f>
        <v>0.27983539094650206</v>
      </c>
      <c r="F19" s="806">
        <f>IF(ISNUMBER((Datos!M19-Datos!W19)/Datos!W19),(Datos!M19-Datos!W19)/Datos!W19," - ")</f>
        <v>0.10623229461756374</v>
      </c>
      <c r="G19" s="807">
        <f>IF(ISNUMBER((Datos!N19-Datos!X19)/Datos!X19),(Datos!N19-Datos!X19)/Datos!X19," - ")</f>
        <v>-1.5766841853798376E-2</v>
      </c>
      <c r="H19" s="808">
        <f>IF(ISNUMBER((Tasas!B19-Datos!BD19)/Datos!BD19),(Tasas!B19-Datos!BD19)/Datos!BD19," - ")</f>
        <v>2.1629770376495514E-3</v>
      </c>
      <c r="I19" s="809">
        <f>IF(ISNUMBER((Tasas!C19-Datos!BE19)/Datos!BE19),(Tasas!C19-Datos!BE19)/Datos!BE19," - ")</f>
        <v>0.11322120277049923</v>
      </c>
      <c r="J19" s="810">
        <f>IF(ISNUMBER((Tasas!D19-Datos!BF19)/Datos!BF19),(Tasas!D19-Datos!BF19)/Datos!BF19," - ")</f>
        <v>-0.36452176200555958</v>
      </c>
      <c r="K19" s="810">
        <f>IF(ISNUMBER((Tasas!E19-Datos!BG19)/Datos!BG19),(Tasas!E19-Datos!BG19)/Datos!BG19," - ")</f>
        <v>6.7908415770936759E-2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EgIgBNse6+CyIOkhnnw7VyDfMGrxUW3DCs5N5fCjEwilAJB0lZgV3D2RT8FSQJLA83IE2XqFQ2HmrjS3uHCuw==" saltValue="xP4JeHhwViffWT3CsvA7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BENIDORM</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1.087518647439085</v>
      </c>
      <c r="C9" s="446">
        <f>IF(ISNUMBER(NºAsuntos!I9/NºAsuntos!G9),NºAsuntos!I9/NºAsuntos!G9," - ")</f>
        <v>2.4705075445816185</v>
      </c>
      <c r="D9" s="447">
        <f>IF(ISNUMBER('Resol  Asuntos'!D9/NºAsuntos!G9),'Resol  Asuntos'!D9/NºAsuntos!G9," - ")</f>
        <v>0.18106995884773663</v>
      </c>
      <c r="E9" s="448">
        <f>IF(ISNUMBER((NºAsuntos!C9+NºAsuntos!E9)/NºAsuntos!G9),(NºAsuntos!C9+NºAsuntos!E9)/NºAsuntos!G9," - ")</f>
        <v>3.4695930498399634</v>
      </c>
      <c r="G9" s="466"/>
    </row>
    <row r="10" spans="1:7">
      <c r="A10" s="405" t="str">
        <f>Datos!A10</f>
        <v>Jdos. Violencia contra la mujer</v>
      </c>
      <c r="B10" s="445">
        <f>IF(ISNUMBER(NºAsuntos!G10/NºAsuntos!E10),NºAsuntos!G10/NºAsuntos!E10," - ")</f>
        <v>0.58974358974358976</v>
      </c>
      <c r="C10" s="446">
        <f>IF(ISNUMBER(NºAsuntos!I10/NºAsuntos!G10),NºAsuntos!I10/NºAsuntos!G10," - ")</f>
        <v>2.9130434782608696</v>
      </c>
      <c r="D10" s="447">
        <f>IF(ISNUMBER('Resol  Asuntos'!D10/NºAsuntos!G10),'Resol  Asuntos'!D10/NºAsuntos!G10," - ")</f>
        <v>0.21739130434782608</v>
      </c>
      <c r="E10" s="448">
        <f>IF(ISNUMBER((NºAsuntos!C10+NºAsuntos!E10)/NºAsuntos!G10),(NºAsuntos!C10+NºAsuntos!E10)/NºAsuntos!G10," - ")</f>
        <v>3.9130434782608696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1.0780487804878049</v>
      </c>
      <c r="C13" s="862">
        <f>IF(ISNUMBER(NºAsuntos!I13/NºAsuntos!G13),NºAsuntos!I13/NºAsuntos!G13," - ")</f>
        <v>2.4760180995475114</v>
      </c>
      <c r="D13" s="863">
        <f>IF(ISNUMBER('Resol  Asuntos'!D13/NºAsuntos!G13),'Resol  Asuntos'!D13/NºAsuntos!G13," - ")</f>
        <v>0.18144796380090497</v>
      </c>
      <c r="E13" s="864">
        <f>IF(ISNUMBER((NºAsuntos!C13+NºAsuntos!E13)/NºAsuntos!G13),(NºAsuntos!C13+NºAsuntos!E13)/NºAsuntos!G13," - ")</f>
        <v>3.4751131221719458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0.83749432591920114</v>
      </c>
      <c r="C15" s="446">
        <f>IF(ISNUMBER(NºAsuntos!I15/NºAsuntos!G15),NºAsuntos!I15/NºAsuntos!G15," - ")</f>
        <v>1.4666666666666666</v>
      </c>
      <c r="D15" s="447">
        <f>IF(ISNUMBER('Resol  Asuntos'!D15/NºAsuntos!G15),'Resol  Asuntos'!D15/NºAsuntos!G15," - ")</f>
        <v>0.17235772357723578</v>
      </c>
      <c r="E15" s="448">
        <f>IF(ISNUMBER((NºAsuntos!C15+NºAsuntos!E15)/NºAsuntos!G15),(NºAsuntos!C15+NºAsuntos!E15)/NºAsuntos!G15," - ")</f>
        <v>2.4536585365853658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0.94979079497907948</v>
      </c>
      <c r="C17" s="446">
        <f>IF(ISNUMBER(NºAsuntos!I17/NºAsuntos!G17),NºAsuntos!I17/NºAsuntos!G17," - ")</f>
        <v>0.47797356828193832</v>
      </c>
      <c r="D17" s="447">
        <f>IF(ISNUMBER('Resol  Asuntos'!D17/NºAsuntos!G17),'Resol  Asuntos'!D17/NºAsuntos!G17," - ")</f>
        <v>0.13656387665198239</v>
      </c>
      <c r="E17" s="448">
        <f>IF(ISNUMBER((NºAsuntos!C17+NºAsuntos!E17)/NºAsuntos!G17),(NºAsuntos!C17+NºAsuntos!E17)/NºAsuntos!G17," - ")</f>
        <v>1.4757709251101321</v>
      </c>
      <c r="G17" s="466"/>
    </row>
    <row r="18" spans="1:7" ht="14.25" thickTop="1" thickBot="1">
      <c r="A18" s="851" t="str">
        <f>Datos!A18</f>
        <v>TOTAL</v>
      </c>
      <c r="B18" s="861">
        <f>IF(ISNUMBER(NºAsuntos!G18/NºAsuntos!E18),NºAsuntos!G18/NºAsuntos!E18," - ")</f>
        <v>0.85751585229392013</v>
      </c>
      <c r="C18" s="862">
        <f>IF(ISNUMBER(NºAsuntos!I18/NºAsuntos!G18),NºAsuntos!I18/NºAsuntos!G18," - ")</f>
        <v>1.272292301000435</v>
      </c>
      <c r="D18" s="865">
        <f>IF(ISNUMBER('Resol  Asuntos'!D18/NºAsuntos!G18),'Resol  Asuntos'!D18/NºAsuntos!G18," - ")</f>
        <v>0.16528925619834711</v>
      </c>
      <c r="E18" s="864">
        <f>IF(ISNUMBER((NºAsuntos!C18+NºAsuntos!E18)/NºAsuntos!G18),(NºAsuntos!C18+NºAsuntos!E18)/NºAsuntos!G18," - ")</f>
        <v>2.2614180078294912</v>
      </c>
      <c r="G18" s="466"/>
    </row>
    <row r="19" spans="1:7" ht="15.75" customHeight="1" thickTop="1" thickBot="1">
      <c r="A19" s="796" t="str">
        <f>Datos!A19</f>
        <v>TOTAL JURISDICCIONES</v>
      </c>
      <c r="B19" s="811">
        <f>IF(ISNUMBER(NºAsuntos!G19/NºAsuntos!E19),NºAsuntos!G19/NºAsuntos!E19," - ")</f>
        <v>0.95307545973367158</v>
      </c>
      <c r="C19" s="812">
        <f>IF(ISNUMBER(NºAsuntos!I19/NºAsuntos!G19),NºAsuntos!I19/NºAsuntos!G19," - ")</f>
        <v>1.8622754491017963</v>
      </c>
      <c r="D19" s="813">
        <f>IF(ISNUMBER('Resol  Asuntos'!D19/NºAsuntos!G19),'Resol  Asuntos'!D19/NºAsuntos!G19," - ")</f>
        <v>0.17320913728099357</v>
      </c>
      <c r="E19" s="814">
        <f>IF(ISNUMBER((NºAsuntos!C19+NºAsuntos!E19)/NºAsuntos!G19),(NºAsuntos!C19+NºAsuntos!E19)/NºAsuntos!G19," - ")</f>
        <v>2.8562874251497008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yxFqfQLhUehMp2kZ0BWhbrdr5hNVaqxp1CGZ6lX/UaqusNsnV+rwkqRtKh1VpYk3xOiH/EccTVtR6DeHc8p5w==" saltValue="3O5nISPpMUClEZygBoGk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BENIDORM</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637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916</v>
      </c>
      <c r="Y9" s="337">
        <f>SUM(W9:X9)</f>
        <v>916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6095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396</v>
      </c>
      <c r="AJ9" s="232" t="str">
        <f>IF(ISNUMBER(Datos!BW9),Datos!BW9," - ")</f>
        <v xml:space="preserve"> - </v>
      </c>
      <c r="AK9" s="231" t="str">
        <f>IF(ISNUMBER(Datos!BX9),Datos!BX9," - ")</f>
        <v xml:space="preserve"> - </v>
      </c>
      <c r="AL9" s="246">
        <f>IF(ISNUMBER(NºAsuntos!G9/NºAsuntos!E9),NºAsuntos!G9/NºAsuntos!E9," - ")</f>
        <v>1.087518647439085</v>
      </c>
      <c r="AM9" s="263">
        <f>IF(ISNUMBER(((NºAsuntos!I9/NºAsuntos!G9)*11)/factor_trimestre),((NºAsuntos!I9/NºAsuntos!G9)*11)/factor_trimestre," - ")</f>
        <v>7.4115226337448554</v>
      </c>
      <c r="AN9" s="247">
        <f>IF(ISNUMBER('Resol  Asuntos'!D9/NºAsuntos!G9),'Resol  Asuntos'!D9/NºAsuntos!G9," - ")</f>
        <v>0.18106995884773663</v>
      </c>
      <c r="AO9" s="248">
        <f>IF(ISNUMBER((NºAsuntos!C9+NºAsuntos!E9)/NºAsuntos!G9),(NºAsuntos!C9+NºAsuntos!E9)/NºAsuntos!G9," - ")</f>
        <v>3.4695930498399634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51</v>
      </c>
      <c r="G10" s="336">
        <f>IF(ISNUMBER(Datos!I10),Datos!I10," - ")</f>
        <v>51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2</v>
      </c>
      <c r="Y10" s="337">
        <f t="shared" ref="Y10:Y12" si="0">SUM(W10:X10)</f>
        <v>25</v>
      </c>
      <c r="Z10" s="338" t="str">
        <f>IF(ISNUMBER(Datos!CC10),Datos!CC10," - ")</f>
        <v xml:space="preserve"> - </v>
      </c>
      <c r="AA10" s="335">
        <f>IF(ISNUMBER(Datos!L10),Datos!L10,"-")</f>
        <v>67</v>
      </c>
      <c r="AB10" s="337">
        <f>IF(ISNUMBER(Datos!R10),Datos!R10," - ")</f>
        <v>49</v>
      </c>
      <c r="AC10" s="337">
        <f t="shared" ref="AC10:AC12" si="1">IF(ISNUMBER(AA10+AB10),AA10+AB10," - ")</f>
        <v>116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0.58974358974358976</v>
      </c>
      <c r="AM10" s="263">
        <f>IF(ISNUMBER(((NºAsuntos!I10/NºAsuntos!G10)*11)/factor_trimestre),((NºAsuntos!I10/NºAsuntos!G10)*11)/factor_trimestre," - ")</f>
        <v>8.7391304347826075</v>
      </c>
      <c r="AN10" s="247">
        <f>IF(ISNUMBER('Resol  Asuntos'!D10/NºAsuntos!G10),'Resol  Asuntos'!D10/NºAsuntos!G10," - ")</f>
        <v>0.21739130434782608</v>
      </c>
      <c r="AO10" s="248">
        <f>IF(ISNUMBER((NºAsuntos!C10+NºAsuntos!E10)/NºAsuntos!G10),(NºAsuntos!C10+NºAsuntos!E10)/NºAsuntos!G10," - ")</f>
        <v>3.9130434782608696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0</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51</v>
      </c>
      <c r="G13" s="869">
        <f t="shared" si="3"/>
        <v>51</v>
      </c>
      <c r="H13" s="868">
        <f t="shared" si="3"/>
        <v>0</v>
      </c>
      <c r="I13" s="870">
        <f t="shared" si="3"/>
        <v>0</v>
      </c>
      <c r="J13" s="870">
        <f t="shared" si="3"/>
        <v>0</v>
      </c>
      <c r="K13" s="870">
        <f t="shared" si="3"/>
        <v>0</v>
      </c>
      <c r="L13" s="870">
        <f t="shared" si="3"/>
        <v>645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918</v>
      </c>
      <c r="Y13" s="871">
        <f t="shared" si="4"/>
        <v>941</v>
      </c>
      <c r="Z13" s="871">
        <f t="shared" si="4"/>
        <v>0</v>
      </c>
      <c r="AA13" s="871">
        <f t="shared" si="4"/>
        <v>67</v>
      </c>
      <c r="AB13" s="871">
        <f t="shared" si="4"/>
        <v>6174</v>
      </c>
      <c r="AC13" s="871">
        <f t="shared" si="4"/>
        <v>116</v>
      </c>
      <c r="AD13" s="871">
        <f t="shared" si="4"/>
        <v>0</v>
      </c>
      <c r="AE13" s="875">
        <f t="shared" si="4"/>
        <v>0</v>
      </c>
      <c r="AF13" s="868">
        <f t="shared" si="4"/>
        <v>0</v>
      </c>
      <c r="AG13" s="876">
        <f t="shared" si="4"/>
        <v>0</v>
      </c>
      <c r="AH13" s="873">
        <f t="shared" si="4"/>
        <v>0</v>
      </c>
      <c r="AI13" s="868">
        <f t="shared" si="4"/>
        <v>401</v>
      </c>
      <c r="AJ13" s="870">
        <f t="shared" si="4"/>
        <v>0</v>
      </c>
      <c r="AK13" s="873">
        <f>SUBTOTAL(9,AK9:AK12)</f>
        <v>0</v>
      </c>
      <c r="AL13" s="877">
        <f>IF(ISNUMBER(NºAsuntos!G13/NºAsuntos!E13),NºAsuntos!G13/NºAsuntos!E13," - ")</f>
        <v>1.0780487804878049</v>
      </c>
      <c r="AM13" s="877">
        <f>IF(ISNUMBER(((NºAsuntos!I13/NºAsuntos!G13)*11)/factor_trimestre),((NºAsuntos!I13/NºAsuntos!G13)*11)/factor_trimestre," - ")</f>
        <v>7.4280542986425351</v>
      </c>
      <c r="AN13" s="878">
        <f>IF(ISNUMBER('Resol  Asuntos'!D13/NºAsuntos!G13),'Resol  Asuntos'!D13/NºAsuntos!G13," - ")</f>
        <v>0.18144796380090497</v>
      </c>
      <c r="AO13" s="879">
        <f>IF(ISNUMBER((NºAsuntos!C13+NºAsuntos!E13)/NºAsuntos!G13),(NºAsuntos!C13+NºAsuntos!E13)/NºAsuntos!G13," - ")</f>
        <v>3.4751131221719458</v>
      </c>
      <c r="AP13" s="880" t="str">
        <f t="shared" si="2"/>
        <v xml:space="preserve"> - </v>
      </c>
      <c r="AQ13" s="880">
        <f>IF(ISNUMBER((H13-W13+K13)/(F13)),(H13-W13+K13)/(F13)," - ")</f>
        <v>-0.45098039215686275</v>
      </c>
      <c r="AR13" s="881">
        <f>IF(ISNUMBER((Datos!P13-Datos!Q13)/(Datos!R13-Datos!P13+Datos!Q13)),(Datos!P13-Datos!Q13)/(Datos!R13-Datos!P13+Datos!Q13)," - ")</f>
        <v>-4.2345276872964167E-2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2348</v>
      </c>
      <c r="G15" s="336">
        <f>IF(ISNUMBER(IF(D_I="SI",Datos!I15,Datos!I15+Datos!AC15)),IF(D_I="SI",Datos!I15,Datos!I15+Datos!AC15)," - ")</f>
        <v>2324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1845</v>
      </c>
      <c r="X15" s="229">
        <f>IF(ISNUMBER(Datos!Q15),Datos!Q15," - ")</f>
        <v>96</v>
      </c>
      <c r="Y15" s="337">
        <f>SUM(W15)</f>
        <v>1845</v>
      </c>
      <c r="Z15" s="338" t="str">
        <f>IF(ISNUMBER(Datos!CC15),Datos!CC15," - ")</f>
        <v xml:space="preserve"> - </v>
      </c>
      <c r="AA15" s="335">
        <f>IF(ISNUMBER(IF(D_I="SI",Datos!L15,Datos!L15+Datos!AF15)),IF(D_I="SI",Datos!L15,Datos!L15+Datos!AF15)," - ")</f>
        <v>2706</v>
      </c>
      <c r="AB15" s="337">
        <f>IF(ISNUMBER(Datos!R15),Datos!R15," - ")</f>
        <v>275</v>
      </c>
      <c r="AC15" s="337">
        <f t="shared" ref="AC15:AC17" si="6">IF(ISNUMBER(AA15+AB15),AA15+AB15," - ")</f>
        <v>2981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318</v>
      </c>
      <c r="AJ15" s="234" t="str">
        <f>IF(ISNUMBER(Datos!BW15),Datos!BW15," - ")</f>
        <v xml:space="preserve"> - </v>
      </c>
      <c r="AK15" s="235" t="str">
        <f>IF(ISNUMBER(Datos!BX15),Datos!BX15," - ")</f>
        <v xml:space="preserve"> - </v>
      </c>
      <c r="AL15" s="246">
        <f>IF(ISNUMBER(NºAsuntos!G15/NºAsuntos!E15),NºAsuntos!G15/NºAsuntos!E15," - ")</f>
        <v>0.83749432591920114</v>
      </c>
      <c r="AM15" s="263">
        <f>IF(ISNUMBER(((NºAsuntos!I15/NºAsuntos!G15)*11)/factor_trimestre),((NºAsuntos!I15/NºAsuntos!G15)*11)/factor_trimestre," - ")</f>
        <v>4.4000000000000004</v>
      </c>
      <c r="AN15" s="247">
        <f>IF(ISNUMBER('Resol  Asuntos'!D15/NºAsuntos!G15),'Resol  Asuntos'!D15/NºAsuntos!G15," - ")</f>
        <v>0.17235772357723578</v>
      </c>
      <c r="AO15" s="248">
        <f>IF(ISNUMBER((NºAsuntos!C15+NºAsuntos!E15)/NºAsuntos!G15),(NºAsuntos!C15+NºAsuntos!E15)/NºAsuntos!G15," - ")</f>
        <v>2.4536585365853658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2</v>
      </c>
      <c r="G16" s="336">
        <f>IF(ISNUMBER(IF(D_I="SI",Datos!I16,Datos!I16+Datos!AC16)),IF(D_I="SI",Datos!I16,Datos!I16+Datos!AC16)," - ")</f>
        <v>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2</v>
      </c>
      <c r="AB16" s="337">
        <f>IF(ISNUMBER(Datos!R16),Datos!R16," - ")</f>
        <v>0</v>
      </c>
      <c r="AC16" s="337">
        <f t="shared" si="6"/>
        <v>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454</v>
      </c>
      <c r="X17" s="229">
        <f>IF(ISNUMBER(Datos!Q17),Datos!Q17," - ")</f>
        <v>4</v>
      </c>
      <c r="Y17" s="337">
        <f t="shared" si="7"/>
        <v>458</v>
      </c>
      <c r="Z17" s="338" t="str">
        <f>IF(ISNUMBER(Datos!CC17),Datos!CC17," - ")</f>
        <v xml:space="preserve"> - </v>
      </c>
      <c r="AA17" s="335">
        <f>IF(ISNUMBER(Datos!L17),Datos!L17,"-")</f>
        <v>217</v>
      </c>
      <c r="AB17" s="337">
        <f>IF(ISNUMBER(Datos!R17),Datos!R17," - ")</f>
        <v>10</v>
      </c>
      <c r="AC17" s="337">
        <f t="shared" si="6"/>
        <v>227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62</v>
      </c>
      <c r="AJ17" s="234" t="str">
        <f>IF(ISNUMBER(Datos!BW17),Datos!BW17," - ")</f>
        <v xml:space="preserve"> - </v>
      </c>
      <c r="AK17" s="235" t="str">
        <f>IF(ISNUMBER(Datos!BX17),Datos!BX17," - ")</f>
        <v xml:space="preserve"> - </v>
      </c>
      <c r="AL17" s="246">
        <f>IF(ISNUMBER(NºAsuntos!G17/NºAsuntos!E17),NºAsuntos!G17/NºAsuntos!E17," - ")</f>
        <v>0.94979079497907948</v>
      </c>
      <c r="AM17" s="263">
        <f>IF(ISNUMBER(((NºAsuntos!I17/NºAsuntos!G17)*11)/factor_trimestre),((NºAsuntos!I17/NºAsuntos!G17)*11)/factor_trimestre," - ")</f>
        <v>1.4339207048458149</v>
      </c>
      <c r="AN17" s="247">
        <f>IF(ISNUMBER('Resol  Asuntos'!D17/NºAsuntos!G17),'Resol  Asuntos'!D17/NºAsuntos!G17," - ")</f>
        <v>0.13656387665198239</v>
      </c>
      <c r="AO17" s="248">
        <f>IF(ISNUMBER((NºAsuntos!C17+NºAsuntos!E17)/NºAsuntos!G17),(NºAsuntos!C17+NºAsuntos!E17)/NºAsuntos!G17," - ")</f>
        <v>1.4757709251101321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2350</v>
      </c>
      <c r="G18" s="869">
        <f>SUBTOTAL(9,G15:G17)</f>
        <v>2518</v>
      </c>
      <c r="H18" s="868">
        <f t="shared" ref="H18:O18" si="10">SUBTOTAL(9,H14:H17)</f>
        <v>0</v>
      </c>
      <c r="I18" s="870">
        <f t="shared" si="10"/>
        <v>0</v>
      </c>
      <c r="J18" s="870">
        <f t="shared" si="10"/>
        <v>0</v>
      </c>
      <c r="K18" s="870">
        <f t="shared" si="10"/>
        <v>0</v>
      </c>
      <c r="L18" s="870">
        <f t="shared" si="10"/>
        <v>87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2299</v>
      </c>
      <c r="X18" s="870">
        <f t="shared" si="11"/>
        <v>100</v>
      </c>
      <c r="Y18" s="871">
        <f t="shared" si="11"/>
        <v>2303</v>
      </c>
      <c r="Z18" s="871">
        <f t="shared" si="11"/>
        <v>0</v>
      </c>
      <c r="AA18" s="871">
        <f t="shared" si="11"/>
        <v>2925</v>
      </c>
      <c r="AB18" s="871">
        <f t="shared" si="11"/>
        <v>285</v>
      </c>
      <c r="AC18" s="871">
        <f t="shared" si="11"/>
        <v>3210</v>
      </c>
      <c r="AD18" s="871">
        <f t="shared" si="11"/>
        <v>0</v>
      </c>
      <c r="AE18" s="875">
        <f t="shared" si="11"/>
        <v>0</v>
      </c>
      <c r="AF18" s="868">
        <f t="shared" si="11"/>
        <v>0</v>
      </c>
      <c r="AG18" s="876">
        <f t="shared" si="11"/>
        <v>0</v>
      </c>
      <c r="AH18" s="873">
        <f t="shared" si="11"/>
        <v>0</v>
      </c>
      <c r="AI18" s="868">
        <f t="shared" si="11"/>
        <v>380</v>
      </c>
      <c r="AJ18" s="870">
        <f t="shared" si="11"/>
        <v>0</v>
      </c>
      <c r="AK18" s="873">
        <f t="shared" si="11"/>
        <v>0</v>
      </c>
      <c r="AL18" s="877">
        <f>IF(ISNUMBER(NºAsuntos!G18/NºAsuntos!E18),NºAsuntos!G18/NºAsuntos!E18," - ")</f>
        <v>0.85751585229392013</v>
      </c>
      <c r="AM18" s="877">
        <f>IF(ISNUMBER(((NºAsuntos!I18/NºAsuntos!G18)*11)/factor_trimestre),((NºAsuntos!I18/NºAsuntos!G18)*11)/factor_trimestre," - ")</f>
        <v>3.816876903001305</v>
      </c>
      <c r="AN18" s="878">
        <f>IF(ISNUMBER('Resol  Asuntos'!D18/NºAsuntos!G18),'Resol  Asuntos'!D18/NºAsuntos!G18," - ")</f>
        <v>0.16528925619834711</v>
      </c>
      <c r="AO18" s="879">
        <f>IF(ISNUMBER((NºAsuntos!C18+NºAsuntos!E18)/NºAsuntos!G18),(NºAsuntos!C18+NºAsuntos!E18)/NºAsuntos!G18," - ")</f>
        <v>2.2614180078294912</v>
      </c>
      <c r="AP18" s="880" t="str">
        <f t="shared" si="2"/>
        <v xml:space="preserve"> - </v>
      </c>
      <c r="AQ18" s="880">
        <f>IF(ISNUMBER((H18-W18+K18)/(F18)),(H18-W18+K18)/(F18)," - ")</f>
        <v>-0.97829787234042553</v>
      </c>
      <c r="AR18" s="881">
        <f>IF(ISNUMBER((Datos!P18-Datos!Q18)/(Datos!R18-Datos!P18+Datos!Q18)),(Datos!P18-Datos!Q18)/(Datos!R18-Datos!P18+Datos!Q18)," - ")</f>
        <v>-4.3624161073825503E-2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2401</v>
      </c>
      <c r="G19" s="824">
        <f t="shared" si="13"/>
        <v>2569</v>
      </c>
      <c r="H19" s="823">
        <f t="shared" si="13"/>
        <v>0</v>
      </c>
      <c r="I19" s="825">
        <f t="shared" si="13"/>
        <v>0</v>
      </c>
      <c r="J19" s="825">
        <f t="shared" si="13"/>
        <v>0</v>
      </c>
      <c r="K19" s="884">
        <f t="shared" si="13"/>
        <v>0</v>
      </c>
      <c r="L19" s="825">
        <f t="shared" si="13"/>
        <v>732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2322</v>
      </c>
      <c r="X19" s="824">
        <f t="shared" si="14"/>
        <v>1018</v>
      </c>
      <c r="Y19" s="831">
        <f t="shared" si="14"/>
        <v>3244</v>
      </c>
      <c r="Z19" s="831">
        <f t="shared" si="14"/>
        <v>0</v>
      </c>
      <c r="AA19" s="831">
        <f t="shared" si="14"/>
        <v>2992</v>
      </c>
      <c r="AB19" s="831">
        <f t="shared" si="14"/>
        <v>6459</v>
      </c>
      <c r="AC19" s="831">
        <f t="shared" si="14"/>
        <v>3326</v>
      </c>
      <c r="AD19" s="831">
        <f t="shared" si="14"/>
        <v>0</v>
      </c>
      <c r="AE19" s="833">
        <f t="shared" si="14"/>
        <v>0</v>
      </c>
      <c r="AF19" s="834">
        <f t="shared" si="14"/>
        <v>0</v>
      </c>
      <c r="AG19" s="835">
        <f t="shared" si="14"/>
        <v>0</v>
      </c>
      <c r="AH19" s="833">
        <f t="shared" si="14"/>
        <v>0</v>
      </c>
      <c r="AI19" s="823">
        <f t="shared" si="14"/>
        <v>781</v>
      </c>
      <c r="AJ19" s="823">
        <f t="shared" si="14"/>
        <v>0</v>
      </c>
      <c r="AK19" s="833">
        <f t="shared" si="14"/>
        <v>0</v>
      </c>
      <c r="AL19" s="887">
        <f>IF(ISNUMBER(NºAsuntos!G19/NºAsuntos!E19),NºAsuntos!G19/NºAsuntos!E19," - ")</f>
        <v>0.95307545973367158</v>
      </c>
      <c r="AM19" s="888">
        <f>IF(ISNUMBER(((NºAsuntos!I19/NºAsuntos!G19)*11)/factor_trimestre),((NºAsuntos!I19/NºAsuntos!G19)*11)/factor_trimestre," - ")</f>
        <v>5.5868263473053892</v>
      </c>
      <c r="AN19" s="888">
        <f>IF(ISNUMBER('Resol  Asuntos'!D19/NºAsuntos!G19),'Resol  Asuntos'!D19/NºAsuntos!G19," - ")</f>
        <v>0.17320913728099357</v>
      </c>
      <c r="AO19" s="889">
        <f>IF(ISNUMBER((NºAsuntos!C19+NºAsuntos!E19)/NºAsuntos!G19),(NºAsuntos!C19+NºAsuntos!E19)/NºAsuntos!G19," - ")</f>
        <v>2.8562874251497008</v>
      </c>
      <c r="AP19" s="890" t="str">
        <f t="shared" si="2"/>
        <v xml:space="preserve"> - </v>
      </c>
      <c r="AQ19" s="891">
        <f>IF(OR(ISNUMBER(FIND("01",Criterios!A8,1)),ISNUMBER(FIND("02",Criterios!A8,1)),ISNUMBER(FIND("03",Criterios!A8,1)),ISNUMBER(FIND("04",Criterios!A8,1))),(I19-W19+K19)/(F19-K19),(H19-W19+K19)/(F19-K19))</f>
        <v>-0.96709704289879217</v>
      </c>
      <c r="AR19" s="892">
        <f>IF(ISNUMBER((Datos!P19-Datos!Q19)/(Datos!R19-Datos!P19+Datos!Q19)),(Datos!P19-Datos!Q19)/(Datos!R19-Datos!P19+Datos!Q19)," - ")</f>
        <v>-4.2401779095626389E-2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856.33333333333337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2.5055493963954847</v>
      </c>
      <c r="F21" s="255">
        <f>IF(ISNUMBER(STDEV(F8:F18)),STDEV(F8:F18),"-")</f>
        <v>1267.7706022778727</v>
      </c>
      <c r="G21" s="256">
        <f>IF(ISNUMBER(STDEV(G8:G18)),STDEV(G8:G18),"-")</f>
        <v>1215.197871404763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1029.7712367317317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193.47554293575641</v>
      </c>
      <c r="AJ21" s="255">
        <f t="shared" si="18"/>
        <v>0</v>
      </c>
      <c r="AK21" s="257">
        <f t="shared" si="18"/>
        <v>0</v>
      </c>
      <c r="AL21" s="252">
        <f t="shared" si="18"/>
        <v>0.1851024768871038</v>
      </c>
      <c r="AM21" s="253">
        <f t="shared" si="18"/>
        <v>2.7723781693667608</v>
      </c>
      <c r="AN21" s="253">
        <f t="shared" si="18"/>
        <v>2.6272532761664903E-2</v>
      </c>
      <c r="AO21" s="254">
        <f t="shared" si="18"/>
        <v>0.92696320218018469</v>
      </c>
      <c r="AP21" s="294" t="str">
        <f t="shared" si="18"/>
        <v>-</v>
      </c>
      <c r="AQ21" s="295">
        <f t="shared" si="18"/>
        <v>0.37286976607599992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IoqCCIxBYsLqg+rFKLD4UJHAoPpp5p4ZynKpVEgDDiWNEDTUHUEch92OWYi8xqUbF2m1lVkutqicFq6E2yjrw==" saltValue="fJEQ9nKxomAlHht/fZm+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BENIDORM</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7.6086956521739135E-2</v>
      </c>
      <c r="I9" s="353">
        <f>IF(ISNUMBER((Tasas!C9-Datos!BE9)/Datos!BE9),(Tasas!C9-Datos!BE9)/Datos!BE9," - ")</f>
        <v>-5.9685953955137615E-2</v>
      </c>
      <c r="J9" s="352">
        <f>IF(ISNUMBER((Tasas!D9-Datos!BF9)/Datos!BF9),(Tasas!D9-Datos!BF9)/Datos!BF9," - ")</f>
        <v>-0.58658582583191188</v>
      </c>
      <c r="K9" s="354">
        <f>IF(ISNUMBER((Tasas!E9-Datos!BG9)/Datos!BG9),(Tasas!E9-Datos!BG9)/Datos!BG9," - ")</f>
        <v>-4.3325491461605942E-2</v>
      </c>
      <c r="M9" t="e">
        <f>IF(Monitorios="SI",Datos!CE9,0)</f>
        <v>#REF!</v>
      </c>
      <c r="N9" t="e">
        <f>IF(Monitorios="SI",Datos!CF9,0)</f>
        <v>#REF!</v>
      </c>
      <c r="O9" t="e">
        <f>IF(Monitorios="SI",Datos!CG9,0)</f>
        <v>#REF!</v>
      </c>
      <c r="P9" t="e">
        <f>IF(Monitorios="SI",Datos!CH9,0)</f>
        <v>#REF!</v>
      </c>
      <c r="Q9">
        <f>IF(J_V="SI",0,Datos!AG9)</f>
        <v>166</v>
      </c>
      <c r="R9">
        <f>IF(J_V="SI",0,Datos!AH9)</f>
        <v>130</v>
      </c>
      <c r="S9">
        <f>IF(J_V="SI",0,Datos!AI9)</f>
        <v>116</v>
      </c>
      <c r="T9">
        <f>IF(J_V="SI",0,Datos!AJ9)</f>
        <v>180</v>
      </c>
    </row>
    <row r="10" spans="2:20" ht="14.25">
      <c r="B10" s="278" t="s">
        <v>249</v>
      </c>
      <c r="C10" s="7" t="str">
        <f>Datos!A10</f>
        <v>Jdos. Violencia contra la mujer</v>
      </c>
      <c r="D10" s="355">
        <f>IF(ISNUMBER((Datos!I10-Datos!S10)/Datos!S10),(Datos!I10-Datos!S10)/Datos!S10," - ")</f>
        <v>0.18604651162790697</v>
      </c>
      <c r="E10" s="351">
        <f>IF(ISNUMBER((Datos!J10-Datos!T10)/Datos!T10),(Datos!J10-Datos!T10)/Datos!T10," - ")</f>
        <v>1.7857142857142858</v>
      </c>
      <c r="F10" s="351">
        <f>IF(ISNUMBER((Datos!K10-Datos!U10)/Datos!U10),(Datos!K10-Datos!U10)/Datos!U10," - ")</f>
        <v>0.6428571428571429</v>
      </c>
      <c r="G10" s="352">
        <f>IF(ISNUMBER((Datos!L10-Datos!V10)/Datos!V10),(Datos!L10-Datos!V10)/Datos!V10," - ")</f>
        <v>0.55813953488372092</v>
      </c>
      <c r="H10" s="233">
        <f>IF(ISNUMBER((Datos!M10-Datos!W10)/Datos!W10),(Datos!M10-Datos!W10)/Datos!W10," - ")</f>
        <v>-0.16666666666666666</v>
      </c>
      <c r="I10" s="353">
        <f>IF(ISNUMBER((Tasas!C10-Datos!BE10)/Datos!BE10),(Tasas!C10-Datos!BE10)/Datos!BE10," - ")</f>
        <v>-5.1567239635995993E-2</v>
      </c>
      <c r="J10" s="352">
        <f>IF(ISNUMBER((Tasas!D10-Datos!BF10)/Datos!BF10),(Tasas!D10-Datos!BF10)/Datos!BF10," - ")</f>
        <v>-0.49275362318840576</v>
      </c>
      <c r="K10" s="354">
        <f>IF(ISNUMBER((Tasas!E10-Datos!BG10)/Datos!BG10),(Tasas!E10-Datos!BG10)/Datos!BG10," - ")</f>
        <v>-3.8901601830663539E-2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7.2192513368983954E-2</v>
      </c>
      <c r="I13" s="360">
        <f>IF(ISNUMBER((Tasas!C13-Datos!BE13)/Datos!BE13),(Tasas!C13-Datos!BE13)/Datos!BE13," - ")</f>
        <v>-5.9336690397638378E-2</v>
      </c>
      <c r="J13" s="358">
        <f>IF(ISNUMBER((Tasas!D13-Datos!BF13)/Datos!BF13),(Tasas!D13-Datos!BF13)/Datos!BF13," - ")</f>
        <v>-0.5856486796785304</v>
      </c>
      <c r="K13" s="361">
        <f>IF(ISNUMBER((Tasas!E13-Datos!BG13)/Datos!BG13),(Tasas!E13-Datos!BG13)/Datos!BG13," - ")</f>
        <v>-4.3093032621828425E-2</v>
      </c>
      <c r="M13" t="e">
        <f>IF(Monitorios="SI",Datos!CE13,0)</f>
        <v>#REF!</v>
      </c>
      <c r="N13" t="e">
        <f>IF(Monitorios="SI",Datos!CF13,0)</f>
        <v>#REF!</v>
      </c>
      <c r="O13" t="e">
        <f>IF(Monitorios="SI",Datos!CG13,0)</f>
        <v>#REF!</v>
      </c>
      <c r="P13" t="e">
        <f>IF(Monitorios="SI",Datos!CH13,0)</f>
        <v>#REF!</v>
      </c>
      <c r="Q13">
        <f>IF(J_V="SI",0,Datos!AG13)</f>
        <v>166</v>
      </c>
      <c r="R13">
        <f>IF(J_V="SI",0,Datos!AH13)</f>
        <v>130</v>
      </c>
      <c r="S13">
        <f>IF(J_V="SI",0,Datos!AI13)</f>
        <v>116</v>
      </c>
      <c r="T13">
        <f>IF(J_V="SI",0,Datos!AJ13)</f>
        <v>180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7.7422345850718596E-2</v>
      </c>
      <c r="E15" s="351">
        <f>IF(ISNUMBER(
   IF(D_I="SI",(Datos!J15-Datos!T15)/Datos!T15,(Datos!J15+Datos!AD15-(Datos!T15+Datos!AL15))/(Datos!T15+Datos!AL15))
     ),IF(D_I="SI",(Datos!J15-Datos!T15)/Datos!T15,(Datos!J15+Datos!AD15-(Datos!T15+Datos!AL15))/(Datos!T15+Datos!AL15))," - ")</f>
        <v>0.17870518994114501</v>
      </c>
      <c r="F15" s="351">
        <f>IF(ISNUMBER(
   IF(D_I="SI",(Datos!K15-Datos!U15)/Datos!U15,(Datos!K15+Datos!AE15-(Datos!U15+Datos!AM15))/(Datos!U15+Datos!AM15))
     ),IF(D_I="SI",(Datos!K15-Datos!U15)/Datos!U15,(Datos!K15+Datos!AE15-(Datos!U15+Datos!AM15))/(Datos!U15+Datos!AM15))," - ")</f>
        <v>-7.4259909683893621E-2</v>
      </c>
      <c r="G15" s="352">
        <f>IF(ISNUMBER(
   IF(D_I="SI",(Datos!L15-Datos!V15)/Datos!V15,(Datos!L15+Datos!AF15-(Datos!V15+Datos!AN15))/(Datos!V15+Datos!AN15))
     ),IF(D_I="SI",(Datos!L15-Datos!V15)/Datos!V15,(Datos!L15+Datos!AF15-(Datos!V15+Datos!AN15))/(Datos!V15+Datos!AN15))," - ")</f>
        <v>0.33695652173913043</v>
      </c>
      <c r="H15" s="233">
        <f>IF(ISNUMBER((Datos!M15-Datos!W15)/Datos!W15),(Datos!M15-Datos!W15)/Datos!W15," - ")</f>
        <v>6.354515050167224E-2</v>
      </c>
      <c r="I15" s="353">
        <f>IF(ISNUMBER((Tasas!C15-Datos!BE15)/Datos!BE15),(Tasas!C15-Datos!BE15)/Datos!BE15," - ")</f>
        <v>0.44420289855072459</v>
      </c>
      <c r="J15" s="352">
        <f>IF(ISNUMBER((Tasas!D15-Datos!BF15)/Datos!BF15),(Tasas!D15-Datos!BF15)/Datos!BF15," - ")</f>
        <v>0.14885934143622367</v>
      </c>
      <c r="K15" s="354">
        <f>IF(ISNUMBER((Tasas!E15-Datos!BG15)/Datos!BG15),(Tasas!E15-Datos!BG15)/Datos!BG15," - ")</f>
        <v>0.21464020452425078</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0.77777777777777779</v>
      </c>
      <c r="E17" s="351">
        <f>IF(ISNUMBER(
   IF(D_I="SI",(Datos!J17-Datos!T17)/Datos!T17,(Datos!J17+Datos!AD17-(Datos!T17+Datos!AL17))/(Datos!T17+Datos!AL17))
     ),IF(D_I="SI",(Datos!J17-Datos!T17)/Datos!T17,(Datos!J17+Datos!AD17-(Datos!T17+Datos!AL17))/(Datos!T17+Datos!AL17))," - ")</f>
        <v>0.97520661157024791</v>
      </c>
      <c r="F17" s="351">
        <f>IF(ISNUMBER(
   IF(D_I="SI",(Datos!K17-Datos!U17)/Datos!U17,(Datos!K17+Datos!AE17-(Datos!U17+Datos!AM17))/(Datos!U17+Datos!AM17))
     ),IF(D_I="SI",(Datos!K17-Datos!U17)/Datos!U17,(Datos!K17+Datos!AE17-(Datos!U17+Datos!AM17))/(Datos!U17+Datos!AM17))," - ")</f>
        <v>0.84552845528455289</v>
      </c>
      <c r="G17" s="352">
        <f>IF(ISNUMBER(
   IF(D_I="SI",(Datos!L17-Datos!V17)/Datos!V17,(Datos!L17+Datos!AF17-(Datos!V17+Datos!AN17))/(Datos!V17+Datos!AN17))
     ),IF(D_I="SI",(Datos!L17-Datos!V17)/Datos!V17,(Datos!L17+Datos!AF17-(Datos!V17+Datos!AN17))/(Datos!V17+Datos!AN17))," - ")</f>
        <v>1.0666666666666667</v>
      </c>
      <c r="H17" s="233">
        <f>IF(ISNUMBER((Datos!M17-Datos!W17)/Datos!W17),(Datos!M17-Datos!W17)/Datos!W17," - ")</f>
        <v>0.87878787878787878</v>
      </c>
      <c r="I17" s="353">
        <f>IF(ISNUMBER((Tasas!C17-Datos!BE17)/Datos!BE17),(Tasas!C17-Datos!BE17)/Datos!BE17," - ")</f>
        <v>0.11982378854625553</v>
      </c>
      <c r="J17" s="352">
        <f>IF(ISNUMBER((Tasas!D17-Datos!BF17)/Datos!BF17),(Tasas!D17-Datos!BF17)/Datos!BF17," - ")</f>
        <v>1.8021625951141356E-2</v>
      </c>
      <c r="K17" s="354">
        <f>IF(ISNUMBER((Tasas!E17-Datos!BG17)/Datos!BG17),(Tasas!E17-Datos!BG17)/Datos!BG17," - ")</f>
        <v>3.7256135934549919E-2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0.11071901191001324</v>
      </c>
      <c r="E18" s="357">
        <f>IF(ISNUMBER(
   IF(D_I="SI",(Datos!J18-Datos!T18)/Datos!T18,(Datos!J18+Datos!AD18-(Datos!T18+Datos!AL18))/(Datos!T18+Datos!AL18))
     ),IF(D_I="SI",(Datos!J18-Datos!T18)/Datos!T18,(Datos!J18+Datos!AD18-(Datos!T18+Datos!AL18))/(Datos!T18+Datos!AL18))," - ")</f>
        <v>0.2700142112742776</v>
      </c>
      <c r="F18" s="357">
        <f>IF(ISNUMBER(
   IF(D_I="SI",(Datos!K18-Datos!U18)/Datos!U18,(Datos!K18+Datos!AE18-(Datos!U18+Datos!AM18))/(Datos!U18+Datos!AM18))
     ),IF(D_I="SI",(Datos!K18-Datos!U18)/Datos!U18,(Datos!K18+Datos!AE18-(Datos!U18+Datos!AM18))/(Datos!U18+Datos!AM18))," - ")</f>
        <v>2.6797677534613668E-2</v>
      </c>
      <c r="G18" s="358">
        <f>IF(ISNUMBER(
   IF(D_I="SI",(Datos!L18-Datos!V18)/Datos!V18,(Datos!L18+Datos!AF18-(Datos!V18+Datos!AN18))/(Datos!V18+Datos!AN18))
     ),IF(D_I="SI",(Datos!L18-Datos!V18)/Datos!V18,(Datos!L18+Datos!AF18-(Datos!V18+Datos!AN18))/(Datos!V18+Datos!AN18))," - ")</f>
        <v>0.37259502580947912</v>
      </c>
      <c r="H18" s="359">
        <f>IF(ISNUMBER((Datos!M18-Datos!W18)/Datos!W18),(Datos!M18-Datos!W18)/Datos!W18," - ")</f>
        <v>0.14457831325301204</v>
      </c>
      <c r="I18" s="360">
        <f>IF(ISNUMBER((Tasas!C18-Datos!BE18)/Datos!BE18),(Tasas!C18-Datos!BE18)/Datos!BE18," - ")</f>
        <v>0.3367726240919634</v>
      </c>
      <c r="J18" s="358">
        <f>IF(ISNUMBER((Tasas!D18-Datos!BF18)/Datos!BF18),(Tasas!D18-Datos!BF18)/Datos!BF18," - ")</f>
        <v>0.11470676092800954</v>
      </c>
      <c r="K18" s="361">
        <f>IF(ISNUMBER((Tasas!E18-Datos!BG18)/Datos!BG18),(Tasas!E18-Datos!BG18)/Datos!BG18," - ")</f>
        <v>0.1565360711581158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0.27992459943449577</v>
      </c>
      <c r="E19" s="366">
        <f>IF(ISNUMBER(
   IF(J_V="SI",(Datos!J19-Datos!T19)/Datos!T19,(Datos!J19+Datos!Z19-(Datos!T19+Datos!AH19))/(Datos!T19+Datos!AH19))
     ),IF(J_V="SI",(Datos!J19-Datos!T19)/Datos!T19,(Datos!J19+Datos!Z19-(Datos!T19+Datos!AH19))/(Datos!T19+Datos!AH19))," - ")</f>
        <v>0.14718719689621726</v>
      </c>
      <c r="F19" s="366">
        <f>IF(ISNUMBER(
   IF(J_V="SI",(Datos!K19-Datos!U19)/Datos!U19,(Datos!K19+Datos!AA19-(Datos!U19+Datos!AI19))/(Datos!U19+Datos!AI19))
     ),IF(J_V="SI",(Datos!K19-Datos!U19)/Datos!U19,(Datos!K19+Datos!AA19-(Datos!U19+Datos!AI19))/(Datos!U19+Datos!AI19))," - ")</f>
        <v>0.14966853646098929</v>
      </c>
      <c r="G19" s="367">
        <f>IF(ISNUMBER(
   IF(J_V="SI",(Datos!L19-Datos!V19)/Datos!V19,(Datos!L19+Datos!AB19-(Datos!V19+Datos!AJ19))/(Datos!V19+Datos!AJ19))
     ),IF(J_V="SI",(Datos!L19-Datos!V19)/Datos!V19,(Datos!L19+Datos!AB19-(Datos!V19+Datos!AJ19))/(Datos!V19+Datos!AJ19))," - ")</f>
        <v>0.27983539094650206</v>
      </c>
      <c r="H19" s="368">
        <f>IF(ISNUMBER((Datos!M19-Datos!W19)/Datos!W19),(Datos!M19-Datos!W19)/Datos!W19," - ")</f>
        <v>0.10623229461756374</v>
      </c>
      <c r="I19" s="365">
        <f>IF(ISNUMBER((Tasas!C19-Datos!BE19)/Datos!BE19),(Tasas!C19-Datos!BE19)/Datos!BE19," - ")</f>
        <v>0.11322120277049923</v>
      </c>
      <c r="J19" s="366">
        <f>IF(ISNUMBER((Tasas!D19-Datos!BF19)/Datos!BF19),(Tasas!D19-Datos!BF19)/Datos!BF19," - ")</f>
        <v>-0.36452176200555958</v>
      </c>
      <c r="K19" s="367">
        <f>IF(ISNUMBER((Tasas!E19-Datos!BG19)/Datos!BG19),(Tasas!E19-Datos!BG19)/Datos!BG19," - ")</f>
        <v>6.7908415770936759E-2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0.31320900564914356</v>
      </c>
      <c r="E21" s="281">
        <f t="shared" si="1"/>
        <v>0.74592201406886449</v>
      </c>
      <c r="F21" s="281">
        <f t="shared" si="1"/>
        <v>0.45289854929484008</v>
      </c>
      <c r="G21" s="282">
        <f t="shared" si="1"/>
        <v>0.39109431369644915</v>
      </c>
      <c r="H21" s="288">
        <f t="shared" si="1"/>
        <v>0.35935974475610599</v>
      </c>
      <c r="I21" s="280">
        <f t="shared" si="1"/>
        <v>0.22179475072934093</v>
      </c>
      <c r="J21" s="281">
        <f t="shared" si="1"/>
        <v>0.35959667753801589</v>
      </c>
      <c r="K21" s="282">
        <f t="shared" si="1"/>
        <v>0.11300500863226016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llz8VaIIBLGcZ1nFoftHCaFwpRz1/L8LGlnvJJqfdsCeHukyiPVdpLLTaCHk4Cc8nwAoZWx4YTUVRzc/Ws/tg==" saltValue="KDJa6JTimDzOoixX0YR0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